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3615" yWindow="1275" windowWidth="12795" windowHeight="7755"/>
  </bookViews>
  <sheets>
    <sheet name="Tabela" sheetId="1" r:id="rId1"/>
    <sheet name="Contagens" sheetId="2" r:id="rId2"/>
  </sheets>
  <calcPr calcId="145621"/>
</workbook>
</file>

<file path=xl/calcChain.xml><?xml version="1.0" encoding="utf-8"?>
<calcChain xmlns="http://schemas.openxmlformats.org/spreadsheetml/2006/main">
  <c r="Q60" i="2" l="1"/>
  <c r="Q59" i="2" s="1"/>
  <c r="P60" i="2"/>
  <c r="P59" i="2" s="1"/>
  <c r="O60" i="2"/>
  <c r="N60" i="2"/>
  <c r="N59" i="2" s="1"/>
  <c r="M60" i="2"/>
  <c r="M59" i="2" s="1"/>
  <c r="L60" i="2"/>
  <c r="L59" i="2" s="1"/>
  <c r="K60" i="2"/>
  <c r="J60" i="2"/>
  <c r="J59" i="2" s="1"/>
  <c r="I60" i="2"/>
  <c r="I59" i="2" s="1"/>
  <c r="H60" i="2"/>
  <c r="H59" i="2" s="1"/>
  <c r="O59" i="2"/>
  <c r="K59" i="2"/>
  <c r="K61" i="2" s="1"/>
  <c r="Q58" i="2"/>
  <c r="P58" i="2"/>
  <c r="O58" i="2"/>
  <c r="N58" i="2"/>
  <c r="M58" i="2"/>
  <c r="L58" i="2"/>
  <c r="K58" i="2"/>
  <c r="J58" i="2"/>
  <c r="I58" i="2"/>
  <c r="H58" i="2"/>
  <c r="R58" i="2" l="1"/>
  <c r="L61" i="2"/>
  <c r="P61" i="2"/>
  <c r="O61" i="2"/>
  <c r="R60" i="2"/>
  <c r="H61" i="2"/>
  <c r="M61" i="2"/>
  <c r="Q61" i="2"/>
  <c r="P62" i="2" s="1"/>
  <c r="J61" i="2"/>
  <c r="R59" i="2"/>
  <c r="N61" i="2"/>
  <c r="I61" i="2"/>
  <c r="K62" i="2" l="1"/>
  <c r="R61" i="2"/>
  <c r="I29" i="2"/>
  <c r="I28" i="2"/>
  <c r="J28" i="2" s="1"/>
  <c r="K28" i="2" s="1"/>
  <c r="E28" i="2"/>
  <c r="E27" i="2" s="1"/>
  <c r="D28" i="2"/>
  <c r="D27" i="2" s="1"/>
  <c r="C28" i="2"/>
  <c r="C27" i="2" s="1"/>
  <c r="B28" i="2"/>
  <c r="B27" i="2" s="1"/>
  <c r="I27" i="2"/>
  <c r="J27" i="2" s="1"/>
  <c r="K27" i="2" s="1"/>
  <c r="I26" i="2"/>
  <c r="J26" i="2" s="1"/>
  <c r="K26" i="2" s="1"/>
  <c r="E26" i="2"/>
  <c r="D26" i="2"/>
  <c r="C26" i="2"/>
  <c r="B26" i="2"/>
  <c r="E29" i="2" l="1"/>
  <c r="D29" i="2"/>
  <c r="C29" i="2"/>
  <c r="J29" i="2"/>
  <c r="K29" i="2" s="1"/>
  <c r="F28" i="2"/>
  <c r="F26" i="2"/>
  <c r="F27" i="2"/>
  <c r="D33" i="2"/>
  <c r="B29" i="2" l="1"/>
  <c r="F29" i="2" s="1"/>
  <c r="H53" i="2"/>
  <c r="H52" i="2" s="1"/>
  <c r="G53" i="2"/>
  <c r="F53" i="2"/>
  <c r="D53" i="2"/>
  <c r="D52" i="2" s="1"/>
  <c r="C53" i="2"/>
  <c r="I51" i="2"/>
  <c r="H51" i="2"/>
  <c r="G51" i="2"/>
  <c r="D51" i="2"/>
  <c r="C51" i="2"/>
  <c r="G50" i="2"/>
  <c r="G49" i="2" s="1"/>
  <c r="G52" i="2" s="1"/>
  <c r="F50" i="2"/>
  <c r="F49" i="2" s="1"/>
  <c r="D50" i="2"/>
  <c r="D49" i="2" s="1"/>
  <c r="C50" i="2"/>
  <c r="B50" i="2"/>
  <c r="B49" i="2" s="1"/>
  <c r="J49" i="2"/>
  <c r="J54" i="2" s="1"/>
  <c r="I49" i="2"/>
  <c r="C49" i="2"/>
  <c r="D54" i="2" l="1"/>
  <c r="B53" i="2"/>
  <c r="E53" i="2" s="1"/>
  <c r="K53" i="2" s="1"/>
  <c r="B51" i="2"/>
  <c r="E51" i="2" s="1"/>
  <c r="K51" i="2" s="1"/>
  <c r="F52" i="2"/>
  <c r="I54" i="2"/>
  <c r="C52" i="2"/>
  <c r="C54" i="2" s="1"/>
  <c r="H54" i="2"/>
  <c r="F51" i="2"/>
  <c r="E50" i="2"/>
  <c r="K50" i="2" s="1"/>
  <c r="G54" i="2"/>
  <c r="G17" i="2"/>
  <c r="E17" i="2"/>
  <c r="D17" i="2"/>
  <c r="C17" i="2"/>
  <c r="B17" i="2"/>
  <c r="G15" i="2"/>
  <c r="E15" i="2"/>
  <c r="D15" i="2"/>
  <c r="C15" i="2"/>
  <c r="B15" i="2"/>
  <c r="B52" i="2" l="1"/>
  <c r="E52" i="2" s="1"/>
  <c r="K52" i="2" s="1"/>
  <c r="F54" i="2"/>
  <c r="E49" i="2"/>
  <c r="F15" i="2"/>
  <c r="F17" i="2"/>
  <c r="D45" i="2"/>
  <c r="C45" i="2"/>
  <c r="D43" i="2"/>
  <c r="D42" i="2" s="1"/>
  <c r="C43" i="2"/>
  <c r="C42" i="2" s="1"/>
  <c r="F41" i="2"/>
  <c r="F45" i="2" s="1"/>
  <c r="D41" i="2"/>
  <c r="C41" i="2"/>
  <c r="B45" i="2" l="1"/>
  <c r="E54" i="2"/>
  <c r="K54" i="2" s="1"/>
  <c r="K49" i="2"/>
  <c r="B54" i="2"/>
  <c r="B41" i="2"/>
  <c r="E41" i="2" s="1"/>
  <c r="B43" i="2"/>
  <c r="E43" i="2" s="1"/>
  <c r="D44" i="2"/>
  <c r="F35" i="2"/>
  <c r="E35" i="2"/>
  <c r="D35" i="2"/>
  <c r="D34" i="2" s="1"/>
  <c r="C35" i="2"/>
  <c r="B35" i="2"/>
  <c r="B42" i="2" s="1"/>
  <c r="F34" i="2"/>
  <c r="E34" i="2"/>
  <c r="F33" i="2"/>
  <c r="E33" i="2"/>
  <c r="C33" i="2"/>
  <c r="B33" i="2"/>
  <c r="B34" i="2" l="1"/>
  <c r="B36" i="2" s="1"/>
  <c r="C44" i="2"/>
  <c r="G35" i="2"/>
  <c r="E36" i="2"/>
  <c r="F36" i="2"/>
  <c r="G33" i="2"/>
  <c r="C34" i="2"/>
  <c r="C36" i="2" s="1"/>
  <c r="D36" i="2"/>
  <c r="E42" i="2" l="1"/>
  <c r="E45" i="2" s="1"/>
  <c r="B44" i="2"/>
  <c r="E44" i="2" s="1"/>
  <c r="G36" i="2"/>
  <c r="G34" i="2"/>
  <c r="C109" i="2"/>
  <c r="B109" i="2"/>
  <c r="A109" i="2"/>
  <c r="G105" i="2"/>
  <c r="F105" i="2"/>
  <c r="E105" i="2"/>
  <c r="D105" i="2"/>
  <c r="C105" i="2"/>
  <c r="B105" i="2"/>
  <c r="G103" i="2"/>
  <c r="F103" i="2"/>
  <c r="E103" i="2"/>
  <c r="D103" i="2"/>
  <c r="C103" i="2"/>
  <c r="B103" i="2"/>
  <c r="G102" i="2"/>
  <c r="F102" i="2"/>
  <c r="E102" i="2"/>
  <c r="D102" i="2"/>
  <c r="C102" i="2"/>
  <c r="B102" i="2"/>
  <c r="G101" i="2"/>
  <c r="F101" i="2"/>
  <c r="E101" i="2"/>
  <c r="D101" i="2"/>
  <c r="C101" i="2"/>
  <c r="B101" i="2"/>
  <c r="G100" i="2"/>
  <c r="F100" i="2"/>
  <c r="E100" i="2"/>
  <c r="D100" i="2"/>
  <c r="C100" i="2"/>
  <c r="B100" i="2"/>
  <c r="G99" i="2"/>
  <c r="F99" i="2"/>
  <c r="E99" i="2"/>
  <c r="D99" i="2"/>
  <c r="C99" i="2"/>
  <c r="B99" i="2"/>
  <c r="B94" i="2"/>
  <c r="B93" i="2"/>
  <c r="B92" i="2"/>
  <c r="B91" i="2"/>
  <c r="B90" i="2"/>
  <c r="B89" i="2"/>
  <c r="E85" i="2"/>
  <c r="D85" i="2"/>
  <c r="C85" i="2"/>
  <c r="B85" i="2"/>
  <c r="E83" i="2"/>
  <c r="D83" i="2"/>
  <c r="C83" i="2"/>
  <c r="B83" i="2"/>
  <c r="E82" i="2"/>
  <c r="D82" i="2"/>
  <c r="C82" i="2"/>
  <c r="B82" i="2"/>
  <c r="E81" i="2"/>
  <c r="D81" i="2"/>
  <c r="C81" i="2"/>
  <c r="B81" i="2"/>
  <c r="E80" i="2"/>
  <c r="D80" i="2"/>
  <c r="C80" i="2"/>
  <c r="B80" i="2"/>
  <c r="E79" i="2"/>
  <c r="D79" i="2"/>
  <c r="C79" i="2"/>
  <c r="C84" i="2" s="1"/>
  <c r="B79" i="2"/>
  <c r="B84" i="2" s="1"/>
  <c r="M75" i="2"/>
  <c r="I75" i="2" s="1"/>
  <c r="L75" i="2"/>
  <c r="H75" i="2" s="1"/>
  <c r="K75" i="2"/>
  <c r="G75" i="2" s="1"/>
  <c r="E75" i="2"/>
  <c r="D75" i="2"/>
  <c r="C75" i="2"/>
  <c r="M73" i="2"/>
  <c r="I73" i="2" s="1"/>
  <c r="L73" i="2"/>
  <c r="H73" i="2" s="1"/>
  <c r="K73" i="2"/>
  <c r="G73" i="2" s="1"/>
  <c r="E73" i="2"/>
  <c r="K83" i="2" s="1"/>
  <c r="D73" i="2"/>
  <c r="C73" i="2"/>
  <c r="M72" i="2"/>
  <c r="I72" i="2" s="1"/>
  <c r="L72" i="2"/>
  <c r="H72" i="2" s="1"/>
  <c r="K72" i="2"/>
  <c r="E72" i="2"/>
  <c r="D72" i="2"/>
  <c r="J82" i="2" s="1"/>
  <c r="C72" i="2"/>
  <c r="M71" i="2"/>
  <c r="I71" i="2" s="1"/>
  <c r="L71" i="2"/>
  <c r="H71" i="2" s="1"/>
  <c r="K71" i="2"/>
  <c r="G71" i="2" s="1"/>
  <c r="E71" i="2"/>
  <c r="K81" i="2" s="1"/>
  <c r="D71" i="2"/>
  <c r="C71" i="2"/>
  <c r="M70" i="2"/>
  <c r="I70" i="2" s="1"/>
  <c r="L70" i="2"/>
  <c r="H70" i="2" s="1"/>
  <c r="K70" i="2"/>
  <c r="G70" i="2" s="1"/>
  <c r="E70" i="2"/>
  <c r="D70" i="2"/>
  <c r="J80" i="2" s="1"/>
  <c r="C70" i="2"/>
  <c r="I80" i="2" s="1"/>
  <c r="M69" i="2"/>
  <c r="I69" i="2" s="1"/>
  <c r="L69" i="2"/>
  <c r="H69" i="2" s="1"/>
  <c r="K69" i="2"/>
  <c r="G69" i="2" s="1"/>
  <c r="E69" i="2"/>
  <c r="K79" i="2" s="1"/>
  <c r="D69" i="2"/>
  <c r="C69" i="2"/>
  <c r="D60" i="2"/>
  <c r="D59" i="2" s="1"/>
  <c r="C60" i="2"/>
  <c r="C59" i="2" s="1"/>
  <c r="B60" i="2"/>
  <c r="D58" i="2"/>
  <c r="C58" i="2"/>
  <c r="B58" i="2"/>
  <c r="G22" i="2"/>
  <c r="G16" i="2" s="1"/>
  <c r="G18" i="2" s="1"/>
  <c r="E22" i="2"/>
  <c r="E16" i="2" s="1"/>
  <c r="E18" i="2" s="1"/>
  <c r="D22" i="2"/>
  <c r="D16" i="2" s="1"/>
  <c r="D18" i="2" s="1"/>
  <c r="C22" i="2"/>
  <c r="C16" i="2" s="1"/>
  <c r="C18" i="2" s="1"/>
  <c r="B22" i="2"/>
  <c r="B16" i="2" s="1"/>
  <c r="C11" i="2"/>
  <c r="A11" i="2"/>
  <c r="F7" i="2"/>
  <c r="E7" i="2"/>
  <c r="D7" i="2"/>
  <c r="C7" i="2"/>
  <c r="B7" i="2"/>
  <c r="A7" i="2"/>
  <c r="D3" i="2"/>
  <c r="S61" i="2" s="1"/>
  <c r="C3" i="2"/>
  <c r="S60" i="2" s="1"/>
  <c r="A3" i="2"/>
  <c r="S58" i="2" s="1"/>
  <c r="A114" i="2"/>
  <c r="A115" i="2" s="1"/>
  <c r="A116" i="2" s="1"/>
  <c r="B113" i="2"/>
  <c r="B116" i="2"/>
  <c r="B114" i="2"/>
  <c r="B115" i="2"/>
  <c r="E84" i="2" l="1"/>
  <c r="I79" i="2"/>
  <c r="J79" i="2"/>
  <c r="J81" i="2"/>
  <c r="J83" i="2"/>
  <c r="L79" i="2"/>
  <c r="K80" i="2"/>
  <c r="L80" i="2" s="1"/>
  <c r="I81" i="2"/>
  <c r="L81" i="2" s="1"/>
  <c r="K82" i="2"/>
  <c r="I83" i="2"/>
  <c r="L83" i="2" s="1"/>
  <c r="D84" i="2"/>
  <c r="F16" i="2"/>
  <c r="F18" i="2" s="1"/>
  <c r="B18" i="2"/>
  <c r="G104" i="2"/>
  <c r="M74" i="2"/>
  <c r="N73" i="2"/>
  <c r="H101" i="2"/>
  <c r="F80" i="2"/>
  <c r="D61" i="2"/>
  <c r="F82" i="2"/>
  <c r="D104" i="2"/>
  <c r="F104" i="2"/>
  <c r="H105" i="2"/>
  <c r="B11" i="2"/>
  <c r="D11" i="2" s="1"/>
  <c r="C74" i="2"/>
  <c r="C61" i="2"/>
  <c r="N72" i="2"/>
  <c r="E58" i="2"/>
  <c r="K74" i="2"/>
  <c r="F73" i="2"/>
  <c r="J73" i="2"/>
  <c r="E60" i="2"/>
  <c r="D74" i="2"/>
  <c r="F72" i="2"/>
  <c r="F83" i="2"/>
  <c r="H100" i="2"/>
  <c r="H102" i="2"/>
  <c r="D109" i="2"/>
  <c r="F22" i="2"/>
  <c r="E74" i="2"/>
  <c r="B59" i="2"/>
  <c r="G72" i="2"/>
  <c r="J72" i="2" s="1"/>
  <c r="A117" i="2"/>
  <c r="I74" i="2"/>
  <c r="F69" i="2"/>
  <c r="J69" i="2"/>
  <c r="N69" i="2"/>
  <c r="N70" i="2"/>
  <c r="N71" i="2"/>
  <c r="F79" i="2"/>
  <c r="H99" i="2"/>
  <c r="B104" i="2"/>
  <c r="J70" i="2"/>
  <c r="J71" i="2"/>
  <c r="L74" i="2"/>
  <c r="N74" i="2"/>
  <c r="N75" i="2"/>
  <c r="C104" i="2"/>
  <c r="G7" i="2"/>
  <c r="B3" i="2" s="1"/>
  <c r="S59" i="2" s="1"/>
  <c r="F70" i="2"/>
  <c r="F71" i="2"/>
  <c r="J75" i="2"/>
  <c r="F81" i="2"/>
  <c r="F85" i="2"/>
  <c r="H103" i="2"/>
  <c r="H74" i="2"/>
  <c r="F75" i="2"/>
  <c r="E104" i="2"/>
  <c r="B117" i="2"/>
  <c r="C114" i="2"/>
  <c r="C115" i="2"/>
  <c r="C116" i="2"/>
  <c r="C113" i="2"/>
  <c r="J84" i="2" l="1"/>
  <c r="I84" i="2"/>
  <c r="I82" i="2"/>
  <c r="L82" i="2" s="1"/>
  <c r="K84" i="2"/>
  <c r="B72" i="2"/>
  <c r="B73" i="2"/>
  <c r="G74" i="2"/>
  <c r="B71" i="2"/>
  <c r="B70" i="2"/>
  <c r="E59" i="2"/>
  <c r="B61" i="2"/>
  <c r="E61" i="2" s="1"/>
  <c r="D113" i="2"/>
  <c r="B75" i="2"/>
  <c r="H104" i="2"/>
  <c r="A118" i="2"/>
  <c r="F84" i="2"/>
  <c r="J74" i="2"/>
  <c r="F74" i="2"/>
  <c r="B69" i="2"/>
  <c r="B118" i="2"/>
  <c r="C117" i="2"/>
  <c r="L84" i="2" l="1"/>
  <c r="B74" i="2"/>
  <c r="D116" i="2"/>
  <c r="D115" i="2"/>
  <c r="D114" i="2"/>
  <c r="A119" i="2"/>
  <c r="B119" i="2"/>
  <c r="C118" i="2"/>
  <c r="D117" i="2" l="1"/>
  <c r="A120" i="2"/>
  <c r="C119" i="2"/>
  <c r="B120" i="2"/>
  <c r="D118" i="2" l="1"/>
  <c r="A121" i="2"/>
  <c r="B121" i="2"/>
  <c r="C120" i="2"/>
  <c r="D119" i="2" l="1"/>
  <c r="A122" i="2"/>
  <c r="B122" i="2"/>
  <c r="C121" i="2"/>
  <c r="D120" i="2" l="1"/>
  <c r="A123" i="2"/>
  <c r="B123" i="2"/>
  <c r="C122" i="2"/>
  <c r="D121" i="2" l="1"/>
  <c r="A124" i="2"/>
  <c r="B124" i="2"/>
  <c r="C123" i="2"/>
  <c r="D122" i="2" l="1"/>
  <c r="A125" i="2"/>
  <c r="B125" i="2"/>
  <c r="C124" i="2"/>
  <c r="D123" i="2" l="1"/>
  <c r="A126" i="2"/>
  <c r="B126" i="2"/>
  <c r="C125" i="2"/>
  <c r="D124" i="2" l="1"/>
  <c r="A127" i="2"/>
  <c r="B127" i="2"/>
  <c r="C126" i="2"/>
  <c r="D125" i="2" l="1"/>
  <c r="A128" i="2"/>
  <c r="C127" i="2"/>
  <c r="B128" i="2"/>
  <c r="D126" i="2" l="1"/>
  <c r="A129" i="2"/>
  <c r="B129" i="2"/>
  <c r="C128" i="2"/>
  <c r="D127" i="2" l="1"/>
  <c r="A130" i="2"/>
  <c r="B130" i="2"/>
  <c r="C129" i="2"/>
  <c r="D128" i="2" l="1"/>
  <c r="A131" i="2"/>
  <c r="C130" i="2"/>
  <c r="B131" i="2"/>
  <c r="D129" i="2" l="1"/>
  <c r="A132" i="2"/>
  <c r="B132" i="2"/>
  <c r="C131" i="2"/>
  <c r="D130" i="2" l="1"/>
  <c r="A133" i="2"/>
  <c r="C132" i="2"/>
  <c r="B133" i="2"/>
  <c r="D131" i="2" l="1"/>
  <c r="A134" i="2"/>
  <c r="C133" i="2"/>
  <c r="B134" i="2"/>
  <c r="D132" i="2" l="1"/>
  <c r="A135" i="2"/>
  <c r="C134" i="2"/>
  <c r="B135" i="2"/>
  <c r="D133" i="2" l="1"/>
  <c r="A136" i="2"/>
  <c r="B136" i="2"/>
  <c r="C135" i="2"/>
  <c r="D134" i="2" l="1"/>
  <c r="A137" i="2"/>
  <c r="B137" i="2"/>
  <c r="C136" i="2"/>
  <c r="D135" i="2" l="1"/>
  <c r="A138" i="2"/>
  <c r="B138" i="2"/>
  <c r="C137" i="2"/>
  <c r="D136" i="2" l="1"/>
  <c r="A139" i="2"/>
  <c r="C138" i="2"/>
  <c r="B139" i="2"/>
  <c r="D137" i="2" l="1"/>
  <c r="A140" i="2"/>
  <c r="B140" i="2"/>
  <c r="C139" i="2"/>
  <c r="D138" i="2" l="1"/>
  <c r="A141" i="2"/>
  <c r="B141" i="2"/>
  <c r="C140" i="2"/>
  <c r="D139" i="2" l="1"/>
  <c r="A142" i="2"/>
  <c r="B142" i="2"/>
  <c r="C141" i="2"/>
  <c r="D140" i="2" l="1"/>
  <c r="A143" i="2"/>
  <c r="C142" i="2"/>
  <c r="B143" i="2"/>
  <c r="D141" i="2" l="1"/>
  <c r="A144" i="2"/>
  <c r="B144" i="2"/>
  <c r="C143" i="2"/>
  <c r="D142" i="2" l="1"/>
  <c r="A145" i="2"/>
  <c r="C144" i="2"/>
  <c r="B145" i="2"/>
  <c r="D143" i="2" l="1"/>
  <c r="A146" i="2"/>
  <c r="C145" i="2"/>
  <c r="B146" i="2"/>
  <c r="D144" i="2" l="1"/>
  <c r="A147" i="2"/>
  <c r="C146" i="2"/>
  <c r="B147" i="2"/>
  <c r="D145" i="2" l="1"/>
  <c r="A148" i="2"/>
  <c r="C147" i="2"/>
  <c r="B148" i="2"/>
  <c r="D146" i="2" l="1"/>
  <c r="A149" i="2"/>
  <c r="B149" i="2"/>
  <c r="C148" i="2"/>
  <c r="D147" i="2" l="1"/>
  <c r="A150" i="2"/>
  <c r="C149" i="2"/>
  <c r="B150" i="2"/>
  <c r="D148" i="2" l="1"/>
  <c r="A151" i="2"/>
  <c r="C150" i="2"/>
  <c r="B151" i="2"/>
  <c r="D149" i="2" l="1"/>
  <c r="A152" i="2"/>
  <c r="C151" i="2"/>
  <c r="B152" i="2"/>
  <c r="D150" i="2" l="1"/>
  <c r="A153" i="2"/>
  <c r="C152" i="2"/>
  <c r="D151" i="2" l="1"/>
  <c r="A154" i="2"/>
  <c r="D152" i="2" l="1"/>
  <c r="A155" i="2"/>
  <c r="A156" i="2" l="1"/>
  <c r="A157" i="2" l="1"/>
  <c r="A158" i="2" l="1"/>
</calcChain>
</file>

<file path=xl/sharedStrings.xml><?xml version="1.0" encoding="utf-8"?>
<sst xmlns="http://schemas.openxmlformats.org/spreadsheetml/2006/main" count="4171" uniqueCount="973">
  <si>
    <t>M_sobreposição</t>
  </si>
  <si>
    <t>I_linha</t>
  </si>
  <si>
    <t>I_oblíquo</t>
  </si>
  <si>
    <t>M_entrelinha</t>
  </si>
  <si>
    <t>I_sobreposição</t>
  </si>
  <si>
    <t>I_enrolado</t>
  </si>
  <si>
    <t>M_enrolado</t>
  </si>
  <si>
    <t>M_oblíquo</t>
  </si>
  <si>
    <t>M_direito</t>
  </si>
  <si>
    <t>I_entrelinha</t>
  </si>
  <si>
    <t>I_direito</t>
  </si>
  <si>
    <t>I_entrelinha inclinado</t>
  </si>
  <si>
    <t>M_linha_adição</t>
  </si>
  <si>
    <t>M_entrelinha com chamada</t>
  </si>
  <si>
    <t>M_linha</t>
  </si>
  <si>
    <t>M_riscado</t>
  </si>
  <si>
    <t>Imediatas</t>
  </si>
  <si>
    <t>Mediatas</t>
  </si>
  <si>
    <t>Total</t>
  </si>
  <si>
    <t>Página</t>
  </si>
  <si>
    <t>TOTAL</t>
  </si>
  <si>
    <t>I_entrelinha com chamada</t>
  </si>
  <si>
    <r>
      <t>&lt;completo&gt;[↑m</t>
    </r>
    <r>
      <rPr>
        <vertAlign val="superscript"/>
        <sz val="11"/>
        <color theme="1"/>
        <rFont val="Times New Roman"/>
        <family val="1"/>
      </rPr>
      <t>s</t>
    </r>
    <r>
      <rPr>
        <sz val="11"/>
        <color theme="1"/>
        <rFont val="Times New Roman"/>
        <family val="1"/>
      </rPr>
      <t xml:space="preserve"> afflictivo]</t>
    </r>
  </si>
  <si>
    <t>%mediata</t>
  </si>
  <si>
    <t>%M_sub</t>
  </si>
  <si>
    <t>%M_entrelinha com chamada</t>
  </si>
  <si>
    <t>%M_enrolado</t>
  </si>
  <si>
    <r>
      <t>&lt;quando&gt;[↑logo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>]</t>
    </r>
  </si>
  <si>
    <t>(*)mediata</t>
  </si>
  <si>
    <t>(*)M_sub</t>
  </si>
  <si>
    <t>(*)M_entrelinha</t>
  </si>
  <si>
    <t>(*)M_direito</t>
  </si>
  <si>
    <t>&lt;ia&gt;[↑tencionava ir]</t>
  </si>
  <si>
    <t>%M_direito</t>
  </si>
  <si>
    <t>&lt;conhecia&gt;[↑presentia]</t>
  </si>
  <si>
    <t>[↑fascinadora]</t>
  </si>
  <si>
    <t>mediata</t>
  </si>
  <si>
    <t>M_adição</t>
  </si>
  <si>
    <t>M_sub</t>
  </si>
  <si>
    <t>po&lt;r&gt;/is\</t>
  </si>
  <si>
    <t>$mediata</t>
  </si>
  <si>
    <t>$M_sub</t>
  </si>
  <si>
    <t>$M_sobreposição</t>
  </si>
  <si>
    <t>&lt;infermidade&gt;[↑doença]</t>
  </si>
  <si>
    <t>&lt;formosura&gt;[↑gentileza]</t>
  </si>
  <si>
    <r>
      <t>[↑p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Portugal]</t>
    </r>
  </si>
  <si>
    <t>[↑ainda]</t>
  </si>
  <si>
    <t>&lt;delicada&gt;[↑impetuosa]</t>
  </si>
  <si>
    <t>&lt;sangue&gt;[↑ideas]</t>
  </si>
  <si>
    <t>mediata+</t>
  </si>
  <si>
    <t>retemperad&lt;o&gt;/as\</t>
  </si>
  <si>
    <t>(g)M_sub</t>
  </si>
  <si>
    <t>[↑defuncto]</t>
  </si>
  <si>
    <t>d&lt;e&gt;/o\</t>
  </si>
  <si>
    <t>&lt;a ironia sarcastica de uma ad&gt; melhor</t>
  </si>
  <si>
    <t>imediata</t>
  </si>
  <si>
    <t>I_sub</t>
  </si>
  <si>
    <t>I_entrelinha descendo</t>
  </si>
  <si>
    <t>&lt;a&gt;/o\</t>
  </si>
  <si>
    <t>&lt;é&gt;/, em\</t>
  </si>
  <si>
    <t>&lt;fallou&gt;[↑fulminou a &lt;†&gt; apaixonada do academico]</t>
  </si>
  <si>
    <t>&lt;A portugueza&gt; Não lhe</t>
  </si>
  <si>
    <t>&lt;receava a bruta&gt; temia</t>
  </si>
  <si>
    <t xml:space="preserve">&lt;seu&gt; </t>
  </si>
  <si>
    <t>#mediata</t>
  </si>
  <si>
    <t>#M_sup</t>
  </si>
  <si>
    <t>#M_oblíquo_sup</t>
  </si>
  <si>
    <t>&lt;do&gt; a</t>
  </si>
  <si>
    <t>&lt;indagando a rasa&gt; averiguando</t>
  </si>
  <si>
    <t>&lt;de&gt; em</t>
  </si>
  <si>
    <r>
      <t>[↑á frente dos seus </t>
    </r>
    <r>
      <rPr>
        <i/>
        <sz val="11"/>
        <color theme="1"/>
        <rFont val="Times New Roman"/>
        <family val="1"/>
      </rPr>
      <t>vandoleros</t>
    </r>
    <r>
      <rPr>
        <sz val="11"/>
        <color theme="1"/>
        <rFont val="Times New Roman"/>
        <family val="1"/>
      </rPr>
      <t>,]</t>
    </r>
  </si>
  <si>
    <t>&lt;sahia&gt;[↑cumprimentava]</t>
  </si>
  <si>
    <r>
      <t xml:space="preserve">&lt;cochila&gt;[↑ </t>
    </r>
    <r>
      <rPr>
        <i/>
        <sz val="11"/>
        <color theme="1"/>
        <rFont val="Times New Roman"/>
        <family val="1"/>
      </rPr>
      <t>navaja</t>
    </r>
    <r>
      <rPr>
        <sz val="11"/>
        <color theme="1"/>
        <rFont val="Times New Roman"/>
        <family val="1"/>
      </rPr>
      <t>]</t>
    </r>
  </si>
  <si>
    <t>(*)M_enrolado</t>
  </si>
  <si>
    <t>&lt;os transeuntes&gt;[↑ os viandantes]</t>
  </si>
  <si>
    <t>&lt;em&gt; com</t>
  </si>
  <si>
    <t>I_Sub</t>
  </si>
  <si>
    <t>&lt;se a sombra do esposo lhe avultava&gt; por q</t>
  </si>
  <si>
    <t>&lt;Depois, apparou-lhe&gt; Passada</t>
  </si>
  <si>
    <t>&lt;Mais quinze dias&gt;</t>
  </si>
  <si>
    <t>#M_enrolado</t>
  </si>
  <si>
    <t>&lt;algumas vezes&gt;[↑ uma vez]</t>
  </si>
  <si>
    <r>
      <t>&lt;na contabilidade dos artigos vendidos&gt;[↑ ao arrolamento dos art</t>
    </r>
    <r>
      <rPr>
        <vertAlign val="superscript"/>
        <sz val="11"/>
        <color theme="1"/>
        <rFont val="Times New Roman"/>
        <family val="1"/>
      </rPr>
      <t>os</t>
    </r>
    <r>
      <rPr>
        <sz val="11"/>
        <color theme="1"/>
        <rFont val="Times New Roman"/>
        <family val="1"/>
      </rPr>
      <t xml:space="preserve"> vendaveis]</t>
    </r>
  </si>
  <si>
    <t>&lt;via&gt;[↑vira]</t>
  </si>
  <si>
    <t>&lt;pela segunda vez e não se deteve cinco m&gt; um dia</t>
  </si>
  <si>
    <t>imediata+</t>
  </si>
  <si>
    <t xml:space="preserve">&lt;Era&gt; </t>
  </si>
  <si>
    <t>&lt;f&gt;/F\ranca</t>
  </si>
  <si>
    <t>[↑Ora,]</t>
  </si>
  <si>
    <t>(ª)mediata</t>
  </si>
  <si>
    <t>(ª)M_adição</t>
  </si>
  <si>
    <t>[↑zambro nem]</t>
  </si>
  <si>
    <t>&lt;é gabar-lhe a esposa&gt; que tem</t>
  </si>
  <si>
    <t>&lt;dizer&gt; gabar-lhe</t>
  </si>
  <si>
    <t>&lt;pes&gt;[↑ plantas]</t>
  </si>
  <si>
    <t>%mediata++</t>
  </si>
  <si>
    <t>%M_entrelinha</t>
  </si>
  <si>
    <t>&lt;os&gt;/as\</t>
  </si>
  <si>
    <t>alcantilad&lt;o&gt;/a\s</t>
  </si>
  <si>
    <t>&lt;as&gt; os</t>
  </si>
  <si>
    <t>&lt;um&gt; outro</t>
  </si>
  <si>
    <t>d&lt;a&gt;/e\</t>
  </si>
  <si>
    <t>[↑como]</t>
  </si>
  <si>
    <t>&lt;tamanha&gt;[↑tão grande]</t>
  </si>
  <si>
    <t xml:space="preserve">&lt;que&gt; </t>
  </si>
  <si>
    <t>(g)M_sup</t>
  </si>
  <si>
    <t>M_oblíquo_sup</t>
  </si>
  <si>
    <r>
      <t>&lt;solidão&gt;[↑soled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</si>
  <si>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t>&lt;era-lhe&gt;[↑ser-lhe-ia]</t>
  </si>
  <si>
    <t>&lt;saudosa ao&gt; patriota</t>
  </si>
  <si>
    <t>&lt;ferocidade&gt;[↑fereza]</t>
  </si>
  <si>
    <t>&lt;belleza&gt;[↑formosura]</t>
  </si>
  <si>
    <t>&lt;barrer a&gt;[↑para a]</t>
  </si>
  <si>
    <t>&lt;tristissima&gt;[↑solitaria]</t>
  </si>
  <si>
    <r>
      <t>&lt;q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as rodeam nas horas afflictas que seguem a perda de&gt;[↑a rodearem-as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-nas] &lt;nos trez dias&gt;[↑ nas horas] &lt;funest&lt;os&gt;/as\&gt;[lugubres &lt;que&gt; em que sôa o dobre por]]</t>
    </r>
  </si>
  <si>
    <t>»mediata</t>
  </si>
  <si>
    <t>»M_sub</t>
  </si>
  <si>
    <t>»M_entrelinha</t>
  </si>
  <si>
    <t>»M_direito</t>
  </si>
  <si>
    <t>&lt;nos trez dias&gt;[↑ nas horas]</t>
  </si>
  <si>
    <t>funest&lt;os&gt;/as\</t>
  </si>
  <si>
    <t>&lt;funest&lt;os&gt;/as\&gt;[lugubres &lt;que&gt; em que sôa o dobre por]</t>
  </si>
  <si>
    <t>&lt;que&gt; em que</t>
  </si>
  <si>
    <t>&lt;as viuvas&gt;[↑as mulheres]</t>
  </si>
  <si>
    <t>%M_oblíquo</t>
  </si>
  <si>
    <t>&lt;esposa&gt;[↑viuva]</t>
  </si>
  <si>
    <t>&lt;como sabem&gt;[↑ cumpre saber q]</t>
  </si>
  <si>
    <t>[↑aliás]</t>
  </si>
  <si>
    <t>&lt;de&gt; veio tambem</t>
  </si>
  <si>
    <t>&lt;expressoens&gt;[↑palavras]</t>
  </si>
  <si>
    <t>&lt;polidas pelo †&gt; procedentes</t>
  </si>
  <si>
    <r>
      <t>&lt;musicalmt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 xml:space="preserve"> nos ouvidos da &lt;viuva&gt;[↑Th] com a toada longinqua da flaut&gt; docemente</t>
    </r>
  </si>
  <si>
    <t>&lt;viuva&gt;[↑ Th]</t>
  </si>
  <si>
    <t>&lt;maviosas&gt; umas</t>
  </si>
  <si>
    <t>&lt;aponta como camarinha de orvalho&gt; orva</t>
  </si>
  <si>
    <t>&lt;orva&gt; nasce</t>
  </si>
  <si>
    <t>&lt;nasce de uma dor m&gt; são</t>
  </si>
  <si>
    <t>imediata++</t>
  </si>
  <si>
    <t>a[s]</t>
  </si>
  <si>
    <t>(g)M_adição</t>
  </si>
  <si>
    <t>lagrima[s]</t>
  </si>
  <si>
    <t>&lt;cora&gt; dor</t>
  </si>
  <si>
    <t>&lt;o&gt;/a\</t>
  </si>
  <si>
    <t>&lt;e gosta de ser b&gt; e acha-se</t>
  </si>
  <si>
    <t>&lt;ferir nas&gt;[↑vibrar as finas]</t>
  </si>
  <si>
    <t>patibulo&lt;, †&gt;/.\</t>
  </si>
  <si>
    <r>
      <t>&lt;socegadamt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&gt;[↑publicamt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</si>
  <si>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t>&lt;teria ainda&gt;[↑talvez tivesse]</t>
  </si>
  <si>
    <t>&lt;e&gt;</t>
  </si>
  <si>
    <t>&lt;divertir com&gt; andar</t>
  </si>
  <si>
    <r>
      <t>2</t>
    </r>
    <r>
      <rPr>
        <sz val="11"/>
        <color theme="1"/>
        <rFont val="Times New Roman"/>
        <family val="1"/>
      </rPr>
      <t xml:space="preserve">espirito e </t>
    </r>
    <r>
      <rPr>
        <vertAlign val="superscript"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tempo</t>
    </r>
  </si>
  <si>
    <t>/mediata</t>
  </si>
  <si>
    <t>/M_reordenação</t>
  </si>
  <si>
    <t>&lt;cujos destinos&gt; É natural</t>
  </si>
  <si>
    <t>&lt;,&gt;/!\</t>
  </si>
  <si>
    <r>
      <t>&lt;emancipação de Portugal&gt;[↑ liberd</t>
    </r>
    <r>
      <rPr>
        <vertAlign val="superscript"/>
        <sz val="11"/>
        <color theme="1"/>
        <rFont val="Times New Roman"/>
        <family val="1"/>
      </rPr>
      <t>es</t>
    </r>
    <r>
      <rPr>
        <sz val="11"/>
        <color theme="1"/>
        <rFont val="Times New Roman"/>
        <family val="1"/>
      </rPr>
      <t xml:space="preserve"> patrias, e no galardão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lhe cabia, se Portugal se emancipasse.]</t>
    </r>
  </si>
  <si>
    <t>»mediata+</t>
  </si>
  <si>
    <t>na[s]</t>
  </si>
  <si>
    <t xml:space="preserve">&lt;lhe&gt; </t>
  </si>
  <si>
    <t>#M_oblíquo</t>
  </si>
  <si>
    <t>&lt;salteadores&gt;[↑esfaqueadores]</t>
  </si>
  <si>
    <t>&lt;atirasse&gt;[↑posesse]</t>
  </si>
  <si>
    <t>[n]as</t>
  </si>
  <si>
    <t>&lt;nas passam&gt; na</t>
  </si>
  <si>
    <t>&lt;de s&gt; seu</t>
  </si>
  <si>
    <t>&lt;madru&gt; no dia</t>
  </si>
  <si>
    <t>n&lt;a&gt;/o\</t>
  </si>
  <si>
    <t>&lt;e&gt;/-\</t>
  </si>
  <si>
    <t>&lt;approveitando a situação&gt; sabendo</t>
  </si>
  <si>
    <t>&lt;intelligent&gt; intendidos</t>
  </si>
  <si>
    <t>&lt;os assentos&gt;[↑a escripturação]</t>
  </si>
  <si>
    <t>&lt;á&gt;/s\em</t>
  </si>
  <si>
    <t>&lt;pobre&gt;[↑infeliz]</t>
  </si>
  <si>
    <t>(*)M_entrelinha com chamada</t>
  </si>
  <si>
    <t>&lt;venha&gt;[↑vá]</t>
  </si>
  <si>
    <t>&lt;ponderando o&gt;[↑ &lt;no seu quarto, e&gt; estando deitada, a scismar no]</t>
  </si>
  <si>
    <t xml:space="preserve">&lt;no seu quarto, e&gt; </t>
  </si>
  <si>
    <t>#M_direito</t>
  </si>
  <si>
    <t>&lt;e a deix&gt; em fim</t>
  </si>
  <si>
    <t>&lt;ar&gt; accuzal-a</t>
  </si>
  <si>
    <t>[↑sua]</t>
  </si>
  <si>
    <t>&lt;disse&gt;[↑pediu]</t>
  </si>
  <si>
    <t>&lt;commoveu&gt;[↑sensibilisou]-se</t>
  </si>
  <si>
    <t>dom-j&lt;o&gt;[↑u]anismo</t>
  </si>
  <si>
    <t>(*)M_oblíquo</t>
  </si>
  <si>
    <t>&lt;proferida&gt;[↑derretida]</t>
  </si>
  <si>
    <t>&lt;de&gt;[↑com]</t>
  </si>
  <si>
    <t xml:space="preserve">&lt;nossa&gt; </t>
  </si>
  <si>
    <t>[↑dos]</t>
  </si>
  <si>
    <r>
      <t>&lt;segd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>&gt;[↑– se]</t>
    </r>
  </si>
  <si>
    <t>&lt;,&gt; contou</t>
  </si>
  <si>
    <t xml:space="preserve">&lt;heroica&gt; </t>
  </si>
  <si>
    <t>#M_enrolado_sup</t>
  </si>
  <si>
    <t>&lt;pro&gt; ensaiavam</t>
  </si>
  <si>
    <t>&lt;Ro&gt; Mirabeau</t>
  </si>
  <si>
    <t>&lt;alem.&gt;[↑dos ceus alem.]</t>
  </si>
  <si>
    <t>&lt;premiam&gt;[↑fincavam-se]</t>
  </si>
  <si>
    <t xml:space="preserve">&lt;a&gt; </t>
  </si>
  <si>
    <t>I_sobrpeosição</t>
  </si>
  <si>
    <t>&lt;nos dedos&gt;[↑nas phalanges]</t>
  </si>
  <si>
    <t>&lt;matar&gt;[↑estrangular]</t>
  </si>
  <si>
    <t>&lt;ella&gt;[↑Thereza]</t>
  </si>
  <si>
    <t>&lt;m&gt; do mundo</t>
  </si>
  <si>
    <t>&lt;Correra&gt; Se la</t>
  </si>
  <si>
    <t>&lt;†&gt;</t>
  </si>
  <si>
    <t>I_sup</t>
  </si>
  <si>
    <t>I_oblíquo_sup</t>
  </si>
  <si>
    <t>&lt;debai&gt; á sombra</t>
  </si>
  <si>
    <r>
      <t xml:space="preserve">&lt;um&gt; </t>
    </r>
    <r>
      <rPr>
        <i/>
        <sz val="11"/>
        <color theme="1"/>
        <rFont val="Times New Roman"/>
        <family val="1"/>
      </rPr>
      <t>Atalá</t>
    </r>
    <r>
      <rPr>
        <sz val="11"/>
        <color theme="1"/>
        <rFont val="Times New Roman"/>
        <family val="1"/>
      </rPr>
      <t xml:space="preserve">,  </t>
    </r>
  </si>
  <si>
    <t>&lt;,&gt;[;]</t>
  </si>
  <si>
    <t>(*)M_linha</t>
  </si>
  <si>
    <t>&lt;a um&gt;[↑ao]</t>
  </si>
  <si>
    <t>&lt;.&gt;/d\e</t>
  </si>
  <si>
    <r>
      <t>[de &lt;Solimão Pan&gt; Mahmoud 2º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II].]</t>
    </r>
  </si>
  <si>
    <t>mediata++</t>
  </si>
  <si>
    <r>
      <t>&lt;Solimão Pan&gt; Mahmoud 2º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II].</t>
    </r>
  </si>
  <si>
    <t>&lt;r&gt;/c\om</t>
  </si>
  <si>
    <t xml:space="preserve">&lt;revelava&gt;[↑ confessava] </t>
  </si>
  <si>
    <t>[←lhe]</t>
  </si>
  <si>
    <t xml:space="preserve"> &lt;ao pai&gt;</t>
  </si>
  <si>
    <t>M_direito_sup</t>
  </si>
  <si>
    <r>
      <t>&lt;certesa de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fôra aband&gt; ingratidão</t>
    </r>
  </si>
  <si>
    <t>&lt;entre&gt; castigado</t>
  </si>
  <si>
    <t>&lt;sob&gt; severamente</t>
  </si>
  <si>
    <t xml:space="preserve">I_linha </t>
  </si>
  <si>
    <t>&lt;p&gt; Conhecia</t>
  </si>
  <si>
    <t>[.]</t>
  </si>
  <si>
    <t>&lt;moço&gt; homem</t>
  </si>
  <si>
    <r>
      <t>&lt;Este homem&gt;[↑ Ant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M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]</t>
    </r>
  </si>
  <si>
    <t>(*)M_entrelinha descendo</t>
  </si>
  <si>
    <t>&lt;a forca&gt; o carrasco</t>
  </si>
  <si>
    <r>
      <t>&lt;todavia, bastantemt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&gt;[↑não obstante, sobejamt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</si>
  <si>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r>
      <t>&lt;o estudante&gt;[↑&lt;exi&gt;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o academico]</t>
    </r>
  </si>
  <si>
    <r>
      <t>&lt;exi&gt;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o academico</t>
    </r>
  </si>
  <si>
    <t>&lt;e passava horas em conversação&gt; e la</t>
  </si>
  <si>
    <r>
      <t>&lt;pelo&gt; p</t>
    </r>
    <r>
      <rPr>
        <vertAlign val="superscript"/>
        <sz val="11"/>
        <color theme="1"/>
        <rFont val="Times New Roman"/>
        <family val="1"/>
      </rPr>
      <t>r</t>
    </r>
    <r>
      <rPr>
        <sz val="11"/>
        <color theme="1"/>
        <rFont val="Times New Roman"/>
        <family val="1"/>
      </rPr>
      <t xml:space="preserve"> lh’o</t>
    </r>
  </si>
  <si>
    <t>&lt;po&gt; cobrindo</t>
  </si>
  <si>
    <t>homem&lt;!&gt;/.\</t>
  </si>
  <si>
    <t>$M_oblíquo</t>
  </si>
  <si>
    <r>
      <t>[&lt;Des-&gt; Pobre de q</t>
    </r>
    <r>
      <rPr>
        <vertAlign val="superscript"/>
        <sz val="11"/>
        <color theme="1"/>
        <rFont val="Times New Roman"/>
        <family val="1"/>
      </rPr>
      <t>m</t>
    </r>
    <r>
      <rPr>
        <sz val="11"/>
        <color theme="1"/>
        <rFont val="Times New Roman"/>
        <family val="1"/>
      </rPr>
      <t xml:space="preserve"> morre!]</t>
    </r>
  </si>
  <si>
    <t>(ª)M_linha_adição</t>
  </si>
  <si>
    <t>&lt;Des-&gt; Pobre</t>
  </si>
  <si>
    <t xml:space="preserve">I_entrelinha </t>
  </si>
  <si>
    <t>&lt;Alcantara&gt;[↑Madrid]</t>
  </si>
  <si>
    <t>&lt;desejava&gt;[↑queria]</t>
  </si>
  <si>
    <t>&lt;vedada a entrada&gt;[↑fechada a porta]</t>
  </si>
  <si>
    <t>&lt;o maneatava&gt;[↑lhe atava as mãos, porque te amava.]</t>
  </si>
  <si>
    <t>&lt;q&gt; que</t>
  </si>
  <si>
    <t>&lt;que a tua vida&gt; se queres</t>
  </si>
  <si>
    <t>[§]</t>
  </si>
  <si>
    <r>
      <t>&lt;vingando&gt;[↑p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vingar]</t>
    </r>
  </si>
  <si>
    <t>&lt;o fizera bom&gt;[↑o regenerára]</t>
  </si>
  <si>
    <t>d&lt;a&gt;/os\</t>
  </si>
  <si>
    <r>
      <t>&lt;especies&gt; art</t>
    </r>
    <r>
      <rPr>
        <vertAlign val="superscript"/>
        <sz val="11"/>
        <color theme="1"/>
        <rFont val="Times New Roman"/>
        <family val="1"/>
      </rPr>
      <t>os</t>
    </r>
  </si>
  <si>
    <t>duas/dous\</t>
  </si>
  <si>
    <t>&lt;idiotismos,&gt;</t>
  </si>
  <si>
    <t>&lt;duas/dous\&gt;</t>
  </si>
  <si>
    <t>&lt;dois idiotismos&gt;[↑O matar é um idiotismo]</t>
  </si>
  <si>
    <t>%mediata+</t>
  </si>
  <si>
    <t>&lt;;&gt;/.\</t>
  </si>
  <si>
    <t>&lt;m&gt; na moral</t>
  </si>
  <si>
    <t>gram[↑m]atica</t>
  </si>
  <si>
    <t>[↑umas]</t>
  </si>
  <si>
    <r>
      <t>[↑tamb</t>
    </r>
    <r>
      <rPr>
        <vertAlign val="superscript"/>
        <sz val="11"/>
        <color theme="1"/>
        <rFont val="Times New Roman"/>
        <family val="1"/>
      </rPr>
      <t>m</t>
    </r>
    <r>
      <rPr>
        <sz val="11"/>
        <color theme="1"/>
        <rFont val="Times New Roman"/>
        <family val="1"/>
      </rPr>
      <t>]</t>
    </r>
  </si>
  <si>
    <t>&lt;a Providencia&gt;[↑Deus]</t>
  </si>
  <si>
    <t>(*)mediata+</t>
  </si>
  <si>
    <t>excluid&lt;a&gt;/o\</t>
  </si>
  <si>
    <t xml:space="preserve">&lt;passar annos delicios&gt; viver </t>
  </si>
  <si>
    <t>[↑em hespanhol]</t>
  </si>
  <si>
    <t>&lt;hou&gt; passou</t>
  </si>
  <si>
    <t>&lt;a primeira&gt; na primeira</t>
  </si>
  <si>
    <r>
      <t>&lt;passou uma hora de tortura; na primeira ho&gt;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tragou</t>
    </r>
  </si>
  <si>
    <t>&lt;da&gt; previsoens</t>
  </si>
  <si>
    <t>[↑experimentou a dor que atormenta sem desafogo]</t>
  </si>
  <si>
    <t>&lt;e de luctas&gt; Premeditou</t>
  </si>
  <si>
    <t>&lt;pozesse&gt;[↑figurasse]</t>
  </si>
  <si>
    <t>&lt;o que&gt; não se lhe</t>
  </si>
  <si>
    <t>&lt;a&gt;/e\m</t>
  </si>
  <si>
    <t xml:space="preserve">ancia&lt;s&gt;/do\ </t>
  </si>
  <si>
    <t>&lt;de ver o&gt; pranto</t>
  </si>
  <si>
    <t>&lt;cheg&gt; entrava</t>
  </si>
  <si>
    <r>
      <t>&lt;Ao m</t>
    </r>
    <r>
      <rPr>
        <vertAlign val="superscript"/>
        <sz val="11"/>
        <color theme="1"/>
        <rFont val="Times New Roman"/>
        <family val="1"/>
      </rPr>
      <t>mo</t>
    </r>
    <r>
      <rPr>
        <sz val="11"/>
        <color theme="1"/>
        <rFont val="Times New Roman"/>
        <family val="1"/>
      </rPr>
      <t xml:space="preserve"> tempo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 xml:space="preserve"> essa&gt; Antes</t>
    </r>
  </si>
  <si>
    <t>&lt;sua&gt;[↑a viuva de seu]</t>
  </si>
  <si>
    <t>sobrinh&lt;a&gt;/o\</t>
  </si>
  <si>
    <t>&lt;pernas&gt;[↑joelhos]</t>
  </si>
  <si>
    <t>d&lt;a&gt;/o\s</t>
  </si>
  <si>
    <t>[↑a gritos]</t>
  </si>
  <si>
    <t>&lt;ignorava&gt; tinha</t>
  </si>
  <si>
    <t>&lt;virtude&gt;[↑galardão]</t>
  </si>
  <si>
    <t>&lt;caso&gt;[↑desastre]</t>
  </si>
  <si>
    <t>&lt;e, no dia em q&gt; e achou</t>
  </si>
  <si>
    <t>&lt;e&gt;[↑&lt;†&gt; duns 3:000 cruzados, e de]</t>
  </si>
  <si>
    <t xml:space="preserve">&lt;†&gt; </t>
  </si>
  <si>
    <t>&lt;dar&gt; fazer</t>
  </si>
  <si>
    <t>&lt;Repellido p&gt; e</t>
  </si>
  <si>
    <t>&lt;.&gt;/;\</t>
  </si>
  <si>
    <t>&lt;trinta&gt;[↑doze]</t>
  </si>
  <si>
    <t>&lt;e&gt;/E\xtremadura</t>
  </si>
  <si>
    <t>[↑fazer]</t>
  </si>
  <si>
    <t>&lt;alegrou-se, vendo o&gt; perguntou-lhe pela</t>
  </si>
  <si>
    <t> [↑sñr]</t>
  </si>
  <si>
    <t>&lt;abriu&gt; esbugalhou</t>
  </si>
  <si>
    <t>in&lt;n&gt;undar</t>
  </si>
  <si>
    <t>&lt;Credo&gt;[↑Hui]</t>
  </si>
  <si>
    <t>&lt;viuva&gt; quando</t>
  </si>
  <si>
    <t>&lt;esta&gt; não</t>
  </si>
  <si>
    <t>[↑, o dramatico,]</t>
  </si>
  <si>
    <t>&lt;com um aspecto sereno&gt;</t>
  </si>
  <si>
    <t>(sifl)imediata+</t>
  </si>
  <si>
    <t>(sifl)I_sup</t>
  </si>
  <si>
    <t>I_direito_sup</t>
  </si>
  <si>
    <t>&lt;,&gt;/.\</t>
  </si>
  <si>
    <t>&lt;tinh&gt; eram</t>
  </si>
  <si>
    <t>&lt;cada&gt;[↑o dorso de cada]</t>
  </si>
  <si>
    <t>um&lt;a&gt; espinhaço</t>
  </si>
  <si>
    <t>&lt;Era um manancial&gt;[↑Tinha sido um prodigio]</t>
  </si>
  <si>
    <t>&lt;francezes&gt;[↑de Soult]</t>
  </si>
  <si>
    <t>&lt;sua&gt;/seu\</t>
  </si>
  <si>
    <t>d&lt;a&gt;/o\</t>
  </si>
  <si>
    <t>[↑da collegiada]</t>
  </si>
  <si>
    <t>&lt;na sua&gt; debaixo</t>
  </si>
  <si>
    <t>&lt;lage&gt; pedra</t>
  </si>
  <si>
    <t>&lt;em vão tem chamado para junto de si uma filha&gt; é mãe</t>
  </si>
  <si>
    <t>&lt;Eu não me admiraria q̃&gt; As explicaçoens</t>
  </si>
  <si>
    <t>&lt;o&gt;/O\ra</t>
  </si>
  <si>
    <t>[↑tão]</t>
  </si>
  <si>
    <t>[↑se]</t>
  </si>
  <si>
    <t>[↑fantasista]</t>
  </si>
  <si>
    <t>&lt;natural&gt;[↑dramatico]</t>
  </si>
  <si>
    <t>[↑tambem]</t>
  </si>
  <si>
    <t>&lt;tambem&gt;</t>
  </si>
  <si>
    <t>&lt;o inventasse,&gt;[↑sobscrevesse a isso]</t>
  </si>
  <si>
    <t>[↑por amor da arte. É de saber q̃ os]</t>
  </si>
  <si>
    <t xml:space="preserve">&lt;Os&gt; </t>
  </si>
  <si>
    <t>&lt;A coragem&gt; São</t>
  </si>
  <si>
    <t>&lt;São&gt; Ainda</t>
  </si>
  <si>
    <t>[↑e se avança&lt;m&gt;/ri\am contra um grupo de homens,]</t>
  </si>
  <si>
    <t>avança&lt;m&gt;/riam\</t>
  </si>
  <si>
    <t>&lt;quedam-se&gt;[↑estacam]</t>
  </si>
  <si>
    <t>&lt;nas&gt;[↑as]</t>
  </si>
  <si>
    <t>[↑O fantasma do homicida do Cartachinho, aqui, era o conego.]</t>
  </si>
  <si>
    <t>&lt;conego&gt;</t>
  </si>
  <si>
    <t>&lt;o&gt;  não</t>
  </si>
  <si>
    <t>[↑dois]</t>
  </si>
  <si>
    <t>acompanha[↑ra]m</t>
  </si>
  <si>
    <t>&lt;olhar&gt;[↑encarar]</t>
  </si>
  <si>
    <t>&lt;para&gt;</t>
  </si>
  <si>
    <t>[↑confesso]</t>
  </si>
  <si>
    <t>&lt;con&gt; olha</t>
  </si>
  <si>
    <t>&lt;olha&gt;[↑fita]</t>
  </si>
  <si>
    <t>&lt;Thereza de Jesus&gt; Quem</t>
  </si>
  <si>
    <t>&lt;animal&gt;[↑ser]</t>
  </si>
  <si>
    <t>&lt;Esqueceu-l&gt; Faltou-lhe</t>
  </si>
  <si>
    <t>&lt;é&gt;/a\lem</t>
  </si>
  <si>
    <t>&lt;lh&gt; disse</t>
  </si>
  <si>
    <t>[↑é... ou]</t>
  </si>
  <si>
    <t>&lt;á&gt;/a\ sua</t>
  </si>
  <si>
    <t>&lt;De&gt; Salvou-se</t>
  </si>
  <si>
    <t>&lt;jantar&gt; comer</t>
  </si>
  <si>
    <t>[↑cavalheiresca]</t>
  </si>
  <si>
    <t>&lt;cavalheiro&gt; sujeito</t>
  </si>
  <si>
    <t>&lt;vinte e do&gt; 22</t>
  </si>
  <si>
    <t>I_entrelinha  descendo</t>
  </si>
  <si>
    <t>&lt;com tal rapidez que&gt; fez-se</t>
  </si>
  <si>
    <r>
      <t>&lt;Depois, sim,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é preciso que&gt;</t>
    </r>
  </si>
  <si>
    <t>– Sua filha não tem</t>
  </si>
  <si>
    <t>&lt;o medico&gt;[↑o doutor]</t>
  </si>
  <si>
    <t>[↑o sñr]</t>
  </si>
  <si>
    <t xml:space="preserve">&lt;do corpo&gt; </t>
  </si>
  <si>
    <t>[↑e serena]</t>
  </si>
  <si>
    <r>
      <t>&lt;so não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assustaria o pai do noivo de Thereza&gt; feriu</t>
    </r>
  </si>
  <si>
    <t>&lt;feriu&gt; penetrou</t>
  </si>
  <si>
    <r>
      <t>dolorosa[m</t>
    </r>
    <r>
      <rPr>
        <vertAlign val="superscript"/>
        <sz val="11"/>
        <color theme="1"/>
        <rFont val="Times New Roman"/>
        <family val="1"/>
      </rPr>
      <t>te</t>
    </r>
    <r>
      <rPr>
        <sz val="11"/>
        <color theme="1"/>
        <rFont val="Times New Roman"/>
        <family val="1"/>
      </rPr>
      <t>]</t>
    </r>
  </si>
  <si>
    <t>&lt;mais&gt;</t>
  </si>
  <si>
    <t xml:space="preserve">&lt;do&gt; Antes </t>
  </si>
  <si>
    <t>&lt;descendo-o&gt;[↑rebaixando-o]</t>
  </si>
  <si>
    <r>
      <t>&lt;quadrilheiro&gt;[↑ &lt;v&gt;/</t>
    </r>
    <r>
      <rPr>
        <i/>
        <sz val="11"/>
        <color theme="1"/>
        <rFont val="Times New Roman"/>
        <family val="1"/>
      </rPr>
      <t>V\andolero</t>
    </r>
    <r>
      <rPr>
        <sz val="11"/>
        <color theme="1"/>
        <rFont val="Times New Roman"/>
        <family val="1"/>
      </rPr>
      <t>]</t>
    </r>
  </si>
  <si>
    <r>
      <t>&lt;v&gt;/</t>
    </r>
    <r>
      <rPr>
        <i/>
        <sz val="11"/>
        <color theme="1"/>
        <rFont val="Times New Roman"/>
        <family val="1"/>
      </rPr>
      <t>V\andolero</t>
    </r>
  </si>
  <si>
    <t>&lt;esse grande miseravel so cazará quando&gt; –</t>
  </si>
  <si>
    <t>&lt;respondeu&gt;[↑ gaguejou]</t>
  </si>
  <si>
    <t>[↑sancta]</t>
  </si>
  <si>
    <r>
      <t>&lt;di</t>
    </r>
    <r>
      <rPr>
        <sz val="11"/>
        <color rgb="FF1F497D"/>
        <rFont val="Times New Roman"/>
        <family val="1"/>
      </rPr>
      <t>s</t>
    </r>
    <r>
      <rPr>
        <sz val="11"/>
        <color theme="1"/>
        <rFont val="Times New Roman"/>
        <family val="1"/>
      </rPr>
      <t>ia&gt;[↑intimava]</t>
    </r>
  </si>
  <si>
    <t>&lt;protecção&gt;[↑patrocinio]</t>
  </si>
  <si>
    <r>
      <t>&lt;Badajoz&gt;[↑quella cid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</si>
  <si>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t>d&lt;e&gt;/a\</t>
  </si>
  <si>
    <t>&lt;dilemmat&gt; deste</t>
  </si>
  <si>
    <t>&lt;deante de mim&gt;[↑ahi]</t>
  </si>
  <si>
    <t>&lt;ahi&gt;[, á direita,]</t>
  </si>
  <si>
    <t>&lt;acola&gt;[↑, á esquerda,]</t>
  </si>
  <si>
    <t>&lt;direito ao patibulo&gt;[↑pª a esquerda]</t>
  </si>
  <si>
    <t>&lt;chef&gt; capitão</t>
  </si>
  <si>
    <t>&lt;que traz&gt; Procure</t>
  </si>
  <si>
    <t>&lt;,&gt;/?\</t>
  </si>
  <si>
    <t>&lt;Procure&gt; Pergunte</t>
  </si>
  <si>
    <t>&lt;breu&gt;[↑alcatrão]</t>
  </si>
  <si>
    <t>&lt;d&gt;/a\tiraram</t>
  </si>
  <si>
    <t>&lt;balança&gt; concha</t>
  </si>
  <si>
    <t>&lt;p&gt; contrapesam</t>
  </si>
  <si>
    <t>&lt;contrapesam&gt; pesa</t>
  </si>
  <si>
    <t>pesa&lt;m&gt; o futuro</t>
  </si>
  <si>
    <t>[↑abjecto]</t>
  </si>
  <si>
    <t>&lt;cravo&gt;[↑metto]-lhe</t>
  </si>
  <si>
    <t>&lt;olhos&gt;[↑garganta]</t>
  </si>
  <si>
    <t>n&lt;os&gt;/a\</t>
  </si>
  <si>
    <t xml:space="preserve">&lt;da&gt; á </t>
  </si>
  <si>
    <t>&lt;destas&gt;</t>
  </si>
  <si>
    <t>&lt;ning&gt; se marcará</t>
  </si>
  <si>
    <t>só&lt;s&gt;</t>
  </si>
  <si>
    <t>&lt;sanctos&gt;[↑anachoretas]</t>
  </si>
  <si>
    <t>&lt;j&gt; homens</t>
  </si>
  <si>
    <t>182&lt;9&gt;/8\</t>
  </si>
  <si>
    <t>[↑e 29]</t>
  </si>
  <si>
    <t>[e 39.]</t>
  </si>
  <si>
    <t>(ª)mediata+</t>
  </si>
  <si>
    <t>&lt;.&gt;/e\</t>
  </si>
  <si>
    <t>[↑Mª]</t>
  </si>
  <si>
    <t>[↑immediata]</t>
  </si>
  <si>
    <t>&lt;desbar&gt; depreciada</t>
  </si>
  <si>
    <t>[↑pª França]</t>
  </si>
  <si>
    <t>&lt;Desde que&gt;</t>
  </si>
  <si>
    <t>A vingança</t>
  </si>
  <si>
    <t>[↑no momento em que se esforçava por destruir um pequeno maço de cartas que lhe cahiram das mãos moribundas.]</t>
  </si>
  <si>
    <t>&lt;.&gt;/,\</t>
  </si>
  <si>
    <t>&lt;apunha&gt; iria</t>
  </si>
  <si>
    <t>&lt;deve&gt;[↑hade]</t>
  </si>
  <si>
    <r>
      <t>&lt;então.&gt;[ q</t>
    </r>
    <r>
      <rPr>
        <vertAlign val="superscript"/>
        <sz val="11"/>
        <color theme="1"/>
        <rFont val="Times New Roman"/>
        <family val="1"/>
      </rPr>
      <t>do</t>
    </r>
    <r>
      <rPr>
        <sz val="11"/>
        <color theme="1"/>
        <rFont val="Times New Roman"/>
        <family val="1"/>
      </rPr>
      <t xml:space="preserve"> se riu assim.] </t>
    </r>
  </si>
  <si>
    <t>&amp;mediata+</t>
  </si>
  <si>
    <t>&amp;M_sub</t>
  </si>
  <si>
    <t>&amp;M_entrelinha descendo</t>
  </si>
  <si>
    <t>&amp;M_enrolado</t>
  </si>
  <si>
    <t>&lt;.&gt;/se\</t>
  </si>
  <si>
    <t>&lt;prote&gt; defendia</t>
  </si>
  <si>
    <t>&lt;pai&gt;[↑facultativo]</t>
  </si>
  <si>
    <t>&lt;em&gt; pelos</t>
  </si>
  <si>
    <t>&lt;de vingar-se&gt;[↑malevolo]</t>
  </si>
  <si>
    <r>
      <t>&lt;dava a perceber&gt;[↑inculcava piamt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</si>
  <si>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t>[↑seu]</t>
  </si>
  <si>
    <t>&lt;que a matara&gt;[↑matador]</t>
  </si>
  <si>
    <t>&lt;disia&gt;[↑referia]-lhe</t>
  </si>
  <si>
    <r>
      <t>[↑– a q</t>
    </r>
    <r>
      <rPr>
        <vertAlign val="superscript"/>
        <sz val="11"/>
        <color theme="1"/>
        <rFont val="Times New Roman"/>
        <family val="1"/>
      </rPr>
      <t>m</t>
    </r>
    <r>
      <rPr>
        <sz val="11"/>
        <color theme="1"/>
        <rFont val="Times New Roman"/>
        <family val="1"/>
      </rPr>
      <t xml:space="preserve"> chamava parvo –]</t>
    </r>
  </si>
  <si>
    <t>&lt;, amolgado&gt;[↑alquebrado]</t>
  </si>
  <si>
    <t>pel&lt;as&gt;/os\</t>
  </si>
  <si>
    <t>&lt;do&gt; achaques</t>
  </si>
  <si>
    <t>&lt;cuidav&gt; não premeditava</t>
  </si>
  <si>
    <t>&lt;vingancas&gt; vingar-se</t>
  </si>
  <si>
    <r>
      <t>[e tinha mt</t>
    </r>
    <r>
      <rPr>
        <vertAlign val="superscript"/>
        <sz val="11"/>
        <color theme="1"/>
        <rFont val="Times New Roman"/>
        <family val="1"/>
      </rPr>
      <t>os</t>
    </r>
    <r>
      <rPr>
        <sz val="11"/>
        <color theme="1"/>
        <rFont val="Times New Roman"/>
        <family val="1"/>
      </rPr>
      <t xml:space="preserve"> peccados que estrangular nos rins com o celicio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cilicio].]</t>
    </r>
  </si>
  <si>
    <t>&lt;máo&gt;[↑logrado]</t>
  </si>
  <si>
    <t>&lt;estad&gt; pavoneava</t>
  </si>
  <si>
    <t>[↑soltos]</t>
  </si>
  <si>
    <r>
      <t xml:space="preserve">&lt;sei&gt;[↑ 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soube </t>
    </r>
    <r>
      <rPr>
        <vertAlign val="superscript"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hoje]</t>
    </r>
  </si>
  <si>
    <r>
      <t>2</t>
    </r>
    <r>
      <rPr>
        <sz val="11"/>
        <color theme="1"/>
        <rFont val="Times New Roman"/>
        <family val="1"/>
      </rPr>
      <t xml:space="preserve">soube </t>
    </r>
    <r>
      <rPr>
        <vertAlign val="superscript"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hoje</t>
    </r>
  </si>
  <si>
    <t>&lt;elles&gt; elles</t>
  </si>
  <si>
    <t>&lt;por em quan&gt; até nova</t>
  </si>
  <si>
    <t>(sifl)imediata</t>
  </si>
  <si>
    <t>&lt;f†&gt; foi</t>
  </si>
  <si>
    <t>&lt;foi&gt; conduziram-o</t>
  </si>
  <si>
    <t>&lt;em Zarzas&gt;[↑em Zarzas]</t>
  </si>
  <si>
    <r>
      <t>&lt;caminho do&gt;[↑tranzito 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o]</t>
    </r>
  </si>
  <si>
    <t>&lt;pediu&gt;[↑perguntou-]-lhe</t>
  </si>
  <si>
    <t>&lt;entregar-lhe um bilhete&gt; dizer-lhe</t>
  </si>
  <si>
    <t>&lt;impossivel&gt; inutil</t>
  </si>
  <si>
    <t>&lt;De&gt; Em Hespanha</t>
  </si>
  <si>
    <t>&lt;suffocou as lagrimas&gt; recobrou alento e seguiu</t>
  </si>
  <si>
    <t>&lt;a multi&gt; o povo</t>
  </si>
  <si>
    <r>
      <t>&lt;que&gt;[↑evitar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illudir] a curiosid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 xml:space="preserve"> dos tranzeuntes:]</t>
    </r>
  </si>
  <si>
    <t>p&lt;or&gt;/ara\</t>
  </si>
  <si>
    <t>&lt;O carcereiro deu-lhe um quarto,&gt; O carcereiro</t>
  </si>
  <si>
    <t>&lt;Antonio&gt; O estudante</t>
  </si>
  <si>
    <t>&lt;Ell&gt;</t>
  </si>
  <si>
    <t>Ella</t>
  </si>
  <si>
    <t>&lt;a tua cabeça&gt;[↑ti]</t>
  </si>
  <si>
    <t>[!]&lt;…&gt;</t>
  </si>
  <si>
    <t>&lt;inutil&gt;</t>
  </si>
  <si>
    <t>Thereza</t>
  </si>
  <si>
    <t>I_enrolado_sup</t>
  </si>
  <si>
    <t>&lt;sancta&gt;[↑serena]</t>
  </si>
  <si>
    <t>&lt;– Eu heid&gt; Thereza</t>
  </si>
  <si>
    <t>&lt;proferir&gt;[↑exprimir]</t>
  </si>
  <si>
    <t>&lt;fuzilava&gt;[↑rutilava]</t>
  </si>
  <si>
    <t>&lt;brilh&gt; rutil</t>
  </si>
  <si>
    <t>&lt;rutil&gt; brilhantissimos</t>
  </si>
  <si>
    <t>&lt;virgem de Raphael&gt; pastora da Arcadia de Poussin</t>
  </si>
  <si>
    <t xml:space="preserve">I_entrelinha com chamada  descendo à linha </t>
  </si>
  <si>
    <t>&lt;Fez&gt; Conseguiu</t>
  </si>
  <si>
    <t>&lt;as&gt;/a\</t>
  </si>
  <si>
    <t>ca&lt;o&gt;/u\dilho</t>
  </si>
  <si>
    <t xml:space="preserve">&lt;! – D. Miguel&gt; e </t>
  </si>
  <si>
    <t>&lt;Matei a ambos, e venho pedir-lhe mis&gt; Não tenha compaixão de mim</t>
  </si>
  <si>
    <t>&lt;sober&gt; monarcha</t>
  </si>
  <si>
    <t>&lt;!&gt;/–\ pela</t>
  </si>
  <si>
    <t>&lt;Missas&gt; Pajillas</t>
  </si>
  <si>
    <t>[↑O francez]</t>
  </si>
  <si>
    <t>mesma frase o fra</t>
  </si>
  <si>
    <t>&lt;, o fra&gt; disse</t>
  </si>
  <si>
    <t>disia&lt;-lhe&gt; ao</t>
  </si>
  <si>
    <t>&lt;est&gt; o homem</t>
  </si>
  <si>
    <t>[↑unico]</t>
  </si>
  <si>
    <t>&lt;como&gt;[↑justificando]</t>
  </si>
  <si>
    <r>
      <t>[↑com os papeis do cap</t>
    </r>
    <r>
      <rPr>
        <vertAlign val="superscript"/>
        <sz val="11"/>
        <color theme="1"/>
        <rFont val="Times New Roman"/>
        <family val="1"/>
      </rPr>
      <t>am</t>
    </r>
    <r>
      <rPr>
        <sz val="11"/>
        <color theme="1"/>
        <rFont val="Times New Roman"/>
        <family val="1"/>
      </rPr>
      <t xml:space="preserve"> assassinado,]</t>
    </r>
  </si>
  <si>
    <t>&lt;e condemnado á morte&gt; e exonerado</t>
  </si>
  <si>
    <t xml:space="preserve">imediata </t>
  </si>
  <si>
    <t>&lt;Fernando VII&gt; Ocios</t>
  </si>
  <si>
    <t>&lt;ja&gt; até</t>
  </si>
  <si>
    <t>Todos</t>
  </si>
  <si>
    <t>&lt;julho&gt;[↑junho]</t>
  </si>
  <si>
    <t>&lt;seguirem&gt; marcharem</t>
  </si>
  <si>
    <t>&lt;O medico em convalecença de uma febre maligna pediu&gt; Desde</t>
  </si>
  <si>
    <t>est&lt;a&gt;/e\ aviso</t>
  </si>
  <si>
    <t>&lt;a coragem&gt;[↑o animo]</t>
  </si>
  <si>
    <t>&lt;dava &lt;a&gt;/o\ minim&lt;a&gt;/o\ &lt;ideia&gt;[↑vislumbre] do&gt;[↑vislumbrava a minima feição d’aquelle]</t>
  </si>
  <si>
    <t>&lt;ideia&gt;[↑vislumbre]</t>
  </si>
  <si>
    <t>minim&lt;a&gt;/o\</t>
  </si>
  <si>
    <r>
      <t>[↑a Pætus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Poetus],]</t>
    </r>
  </si>
  <si>
    <t>&lt;ao&gt;[↑seu]</t>
  </si>
  <si>
    <r>
      <t>[↑condemnado p</t>
    </r>
    <r>
      <rPr>
        <vertAlign val="superscript"/>
        <sz val="11"/>
        <color theme="1"/>
        <rFont val="Times New Roman"/>
        <family val="1"/>
      </rPr>
      <t>r</t>
    </r>
    <r>
      <rPr>
        <sz val="11"/>
        <color theme="1"/>
        <rFont val="Times New Roman"/>
        <family val="1"/>
      </rPr>
      <t xml:space="preserve"> Claudio:]</t>
    </r>
  </si>
  <si>
    <t>&lt;corag&gt; valentia</t>
  </si>
  <si>
    <t>&lt;e&gt;/,\</t>
  </si>
  <si>
    <t>&lt;tremia&gt;[↑tiritava]</t>
  </si>
  <si>
    <t>&lt;mandar&gt; o carcereiro</t>
  </si>
  <si>
    <t>[↑ao meio dia]</t>
  </si>
  <si>
    <t>[Previna-se a senhora.] </t>
  </si>
  <si>
    <t>[↑ella]</t>
  </si>
  <si>
    <r>
      <t>[</t>
    </r>
    <r>
      <rPr>
        <i/>
        <sz val="11"/>
        <color theme="1"/>
        <rFont val="Times New Roman"/>
        <family val="1"/>
      </rPr>
      <t>Em parenthesis</t>
    </r>
    <r>
      <rPr>
        <sz val="11"/>
        <color theme="1"/>
        <rFont val="Times New Roman"/>
        <family val="1"/>
      </rPr>
      <t>]</t>
    </r>
  </si>
  <si>
    <t>/e\lla</t>
  </si>
  <si>
    <t>&lt;encontrado&gt;[↑atado]</t>
  </si>
  <si>
    <t>&lt;[↑atado]&gt;[↑solda]</t>
  </si>
  <si>
    <t>&lt;solda&gt; ↓atado</t>
  </si>
  <si>
    <t>[↑e primeiro extrangeiro]</t>
  </si>
  <si>
    <t>&lt;com tanta mostarda a&gt; pachorrenta a sua</t>
  </si>
  <si>
    <t>&lt;desde que o caso de&gt; Via a</t>
  </si>
  <si>
    <t>&lt;Via a encher-lhe&gt; Vendo</t>
  </si>
  <si>
    <t>&lt;Todos nos sentimos arrebentar mais ou menos&gt; O que sei</t>
  </si>
  <si>
    <t>&lt;a&gt;[↑em Zebreira]</t>
  </si>
  <si>
    <t>&lt;a&gt; torno</t>
  </si>
  <si>
    <t>&lt;A sua aspir&gt; </t>
  </si>
  <si>
    <r>
      <t>[↑Per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]</t>
    </r>
  </si>
  <si>
    <t>[↑na Brea]</t>
  </si>
  <si>
    <t>&lt;pod&gt; salvaria</t>
  </si>
  <si>
    <t>&lt;no favor&gt;[↑tambem no patrocinio]</t>
  </si>
  <si>
    <t>[↑de Basto]</t>
  </si>
  <si>
    <t>&lt;A mãe de Thereza&gt; Feliciana</t>
  </si>
  <si>
    <t>&lt;acordam&gt;[↑revivem]</t>
  </si>
  <si>
    <t>&lt;as&gt;/o\</t>
  </si>
  <si>
    <t>[↑no ladrilho das janellas estavam ainda os seus quatro vasos de craveiros,]</t>
  </si>
  <si>
    <r>
      <t>&lt;o que lhe tirou dos&gt; o sentimt</t>
    </r>
    <r>
      <rPr>
        <vertAlign val="superscript"/>
        <sz val="11"/>
        <color theme="1"/>
        <rFont val="Times New Roman"/>
        <family val="1"/>
      </rPr>
      <t>o</t>
    </r>
  </si>
  <si>
    <t>&lt;fosse o q&gt; saudade</t>
  </si>
  <si>
    <t>&lt;p&gt; fazia</t>
  </si>
  <si>
    <t>&lt;ouv&gt; escutava</t>
  </si>
  <si>
    <t>&lt;sacudia com as mãos como quem assusta vespas&gt; olhava</t>
  </si>
  <si>
    <t>&lt;Senhor dos Passos&gt; crucifixo</t>
  </si>
  <si>
    <t>&lt;coca&gt; mettia</t>
  </si>
  <si>
    <t>&lt;lagrimosa&gt;[↑pungente]</t>
  </si>
  <si>
    <t>&lt;a&gt;/e\</t>
  </si>
  <si>
    <t>&lt;o&gt;/s\e</t>
  </si>
  <si>
    <t>&lt;m&gt; te</t>
  </si>
  <si>
    <t>&lt;-&gt; ...</t>
  </si>
  <si>
    <t>&lt;bastante&gt;[↑algum; mais de 6:000 cruzados,]</t>
  </si>
  <si>
    <t>&lt;viveram&gt;[↑floreceram]</t>
  </si>
  <si>
    <t>&lt;contribuiram&gt; cavaram</t>
  </si>
  <si>
    <t>[↑seu proprio]</t>
  </si>
  <si>
    <t>Voltou</t>
  </si>
  <si>
    <t>&lt;dar s&gt; beber</t>
  </si>
  <si>
    <t>&lt;pedia&gt;[↑implorava]</t>
  </si>
  <si>
    <t>&lt;sentin&gt; sentindo</t>
  </si>
  <si>
    <t>insomnia[s]</t>
  </si>
  <si>
    <t>pela[s]</t>
  </si>
  <si>
    <t>[↑a]</t>
  </si>
  <si>
    <t>receb&lt;eu&gt;/era\</t>
  </si>
  <si>
    <t>&lt;lou&gt; desvairada</t>
  </si>
  <si>
    <t>&lt;desvairada&gt;[↑ absurda]</t>
  </si>
  <si>
    <r>
      <t>&lt;No dia 14 de julho&gt;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Thereza</t>
    </r>
  </si>
  <si>
    <t>&lt;ao&gt; no</t>
  </si>
  <si>
    <t>&lt;pedira&gt;[↑dissera]</t>
  </si>
  <si>
    <t>&lt;Deu-lhe conhecimentos em&gt; Recommendou-a</t>
  </si>
  <si>
    <t>&lt;o depoimento de mais algumas testemunhas&gt; restava</t>
  </si>
  <si>
    <t>&lt;Maria&gt;</t>
  </si>
  <si>
    <t>&lt;, natural de Goes, e residente no Fundão, quando aconteceu a&gt; foi</t>
  </si>
  <si>
    <t>&lt;descesse com&gt; sahisse</t>
  </si>
  <si>
    <t>&lt;Ao aproximar-se aos&gt; A energia</t>
  </si>
  <si>
    <t>Seguiu&lt;-o&gt;[↑ os prezos]</t>
  </si>
  <si>
    <t>&lt;lhe&gt;[↑conseguiu]</t>
  </si>
  <si>
    <t>entreg&lt;ou&gt;/ar\</t>
  </si>
  <si>
    <t>&lt;na Golegan&gt;[↑a Antº Mª, cujas algemas lh'a não deixavam ler]</t>
  </si>
  <si>
    <t>&lt;entrou em&gt;[↑ chegou a]</t>
  </si>
  <si>
    <t xml:space="preserve">M_entrelinha </t>
  </si>
  <si>
    <t>[↑soltas]</t>
  </si>
  <si>
    <t>&lt;queria&gt; fallava</t>
  </si>
  <si>
    <t>&lt;fallava em vingança&gt; disia</t>
  </si>
  <si>
    <t>&lt;a F&gt; á mãe</t>
  </si>
  <si>
    <t>&lt;magestoso no&gt; homem</t>
  </si>
  <si>
    <t>&lt;remir&gt;[↑resgatar]</t>
  </si>
  <si>
    <t>&lt;negaram&gt; trahiram</t>
  </si>
  <si>
    <t>&lt;Que haveria que esperar do academico de grandioso&gt; Antº</t>
  </si>
  <si>
    <t>&lt;em que&gt; onde</t>
  </si>
  <si>
    <t>I_entrelinha inclinado firmar</t>
  </si>
  <si>
    <t>&lt;togas&gt; becas</t>
  </si>
  <si>
    <t>[↑ou lida]</t>
  </si>
  <si>
    <t>&lt;fulminasse os tyranos como&gt; dissesse</t>
  </si>
  <si>
    <t>&lt;dissesse&gt;[↑ vaticinasse]</t>
  </si>
  <si>
    <t>[↑snr Martens Ferrão,]</t>
  </si>
  <si>
    <t>&lt;situação&gt;[↑posição]</t>
  </si>
  <si>
    <r>
      <t>&lt;expressão&gt;[↑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phraze]</t>
    </r>
  </si>
  <si>
    <t>[↑ser]</t>
  </si>
  <si>
    <t>&lt;ser&gt; se</t>
  </si>
  <si>
    <t>&lt;disiam&gt;[↑immortalisaram]</t>
  </si>
  <si>
    <t>&lt;guilhotina&gt; carroça</t>
  </si>
  <si>
    <t>&lt;Quando lhe leram a sentença perdeu o alento&gt; Ouviu</t>
  </si>
  <si>
    <t>&lt;Tinha perdido o alento&gt; Antes</t>
  </si>
  <si>
    <t>&lt;Ant&gt; o justiçado</t>
  </si>
  <si>
    <t>&lt;manhan&gt;[↑aurora]</t>
  </si>
  <si>
    <t>d&lt;a&gt;/a\</t>
  </si>
  <si>
    <t>[↑lívido, inerte,]</t>
  </si>
  <si>
    <r>
      <t>estupida[m</t>
    </r>
    <r>
      <rPr>
        <vertAlign val="superscript"/>
        <sz val="11"/>
        <color theme="1"/>
        <rFont val="Times New Roman"/>
        <family val="1"/>
      </rPr>
      <t>te</t>
    </r>
    <r>
      <rPr>
        <sz val="11"/>
        <color theme="1"/>
        <rFont val="Times New Roman"/>
        <family val="1"/>
      </rPr>
      <t>]</t>
    </r>
  </si>
  <si>
    <t>%M_linha</t>
  </si>
  <si>
    <t>&lt;de&gt;</t>
  </si>
  <si>
    <t>sere&lt;nidade.&gt;[↑no.]</t>
  </si>
  <si>
    <t>&lt;escrivão do process&gt; procurador,</t>
  </si>
  <si>
    <t>&lt;Alem&gt; Pouco</t>
  </si>
  <si>
    <t>&lt;Chegaram a Sac&gt; Em</t>
  </si>
  <si>
    <t>&lt;Em&gt; Durante</t>
  </si>
  <si>
    <t>&lt;tiver algum pro&gt; morrer</t>
  </si>
  <si>
    <t>&lt;tinha a&gt; devia</t>
  </si>
  <si>
    <t>&lt;Como a resposta&gt; Mandou</t>
  </si>
  <si>
    <t>&lt;bebia&gt;[↑seccava]</t>
  </si>
  <si>
    <t>&lt;A tarde se&gt; O dia</t>
  </si>
  <si>
    <t>&lt;as auras&gt;[↑a briza]</t>
  </si>
  <si>
    <t>&lt;do Tejo&gt;[↑do mar]</t>
  </si>
  <si>
    <t>&lt;eriçavam&gt; encrespavam</t>
  </si>
  <si>
    <t>encrespava&lt;m&gt;</t>
  </si>
  <si>
    <t>&lt;bens&gt; cazais</t>
  </si>
  <si>
    <t>&lt;ladroens&gt;[↑ malfeitores]</t>
  </si>
  <si>
    <t>&lt;historicos&gt;[↑biblicos]</t>
  </si>
  <si>
    <r>
      <t>&lt;a q</t>
    </r>
    <r>
      <rPr>
        <vertAlign val="superscript"/>
        <sz val="11"/>
        <color theme="1"/>
        <rFont val="Times New Roman"/>
        <family val="1"/>
      </rPr>
      <t>m</t>
    </r>
    <r>
      <rPr>
        <sz val="11"/>
        <color theme="1"/>
        <rFont val="Times New Roman"/>
        <family val="1"/>
      </rPr>
      <t xml:space="preserve"> Jesus Christo prometteu o paraiso.&gt; Chamavam-lhe</t>
    </r>
  </si>
  <si>
    <t>&lt;seria&gt;[↑era]</t>
  </si>
  <si>
    <t>&lt;D. Rojo na volta de Madrid, não vendera&gt; D. Rojo</t>
  </si>
  <si>
    <t>&lt;f&gt; crença</t>
  </si>
  <si>
    <t>&lt;em Deus o balsamo&gt; no frade</t>
  </si>
  <si>
    <t>&lt;das fe&gt; dos golpes</t>
  </si>
  <si>
    <t>&lt;c&gt;/C\hristo</t>
  </si>
  <si>
    <r>
      <t>&lt;a mulher d&lt;e&gt;/o\ &lt;An&gt;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estudante&gt;[↑Thereza, a viuva do enforcado,]</t>
    </r>
  </si>
  <si>
    <r>
      <t>&lt;An&gt;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estudante</t>
    </r>
  </si>
  <si>
    <t>&lt;11&gt;[↑ 1&lt;2&gt;/4\]</t>
  </si>
  <si>
    <t>1&lt;2&gt;/4\</t>
  </si>
  <si>
    <t>&lt;disse&gt; respondeu</t>
  </si>
  <si>
    <t>&lt;Na noite&gt;[↑Á meia noute]</t>
  </si>
  <si>
    <t>&lt;por volta da meia noute&gt;</t>
  </si>
  <si>
    <t>[↑mesmo]</t>
  </si>
  <si>
    <t>&lt;se recolhia&gt;[↑regressava]</t>
  </si>
  <si>
    <r>
      <t>&lt;pela&gt; p</t>
    </r>
    <r>
      <rPr>
        <vertAlign val="superscript"/>
        <sz val="11"/>
        <color theme="1"/>
        <rFont val="Times New Roman"/>
        <family val="1"/>
      </rPr>
      <t>a</t>
    </r>
  </si>
  <si>
    <t>&lt;do dia&gt;[↑da tarde]</t>
  </si>
  <si>
    <t>&lt;do portão&gt;</t>
  </si>
  <si>
    <t>&lt;Seguiu a linha mais recta&gt; Não</t>
  </si>
  <si>
    <t>&lt;destacar-s&gt; resaltar</t>
  </si>
  <si>
    <t>&lt;para&gt;[↑contra]</t>
  </si>
  <si>
    <t>&lt;Á luz das v&gt; O aço</t>
  </si>
  <si>
    <t>lampe&lt;g&gt;/j\ou</t>
  </si>
  <si>
    <t>&lt;o braço desceu sobre o peito do alcaide, e, a meio do&gt; e estas</t>
  </si>
  <si>
    <t>&lt;e estas pa&gt; e quedou-se</t>
  </si>
  <si>
    <t>[↑um instante]</t>
  </si>
  <si>
    <r>
      <t>&lt;Anton&gt;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Times New Roman"/>
        <family val="1"/>
      </rPr>
      <t>tua</t>
    </r>
  </si>
  <si>
    <t>&lt;não&gt; tinha</t>
  </si>
  <si>
    <t>&lt;correu ao por&gt; viu</t>
  </si>
  <si>
    <r>
      <t>&lt;avant&gt; p</t>
    </r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o</t>
    </r>
  </si>
  <si>
    <t>&lt;L&gt;/C\onduzam</t>
  </si>
  <si>
    <t>&lt;, ap&gt; e tragam</t>
  </si>
  <si>
    <r>
      <t>&lt;violentamt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&gt;[↑com arremeço]</t>
    </r>
  </si>
  <si>
    <t>um&lt;a&gt;</t>
  </si>
  <si>
    <t>&lt;sala&gt;[↑caza da audiencia] </t>
  </si>
  <si>
    <t>&lt;um dos&gt; o topo</t>
  </si>
  <si>
    <t>&lt;estava&gt; tinha</t>
  </si>
  <si>
    <t xml:space="preserve">I_direito </t>
  </si>
  <si>
    <t>&lt;tinha tocado&gt; era</t>
  </si>
  <si>
    <t>&lt;um&gt;[↑o]</t>
  </si>
  <si>
    <r>
      <t>&lt;como é costume&gt;[↑seg</t>
    </r>
    <r>
      <rPr>
        <vertAlign val="superscript"/>
        <sz val="11"/>
        <color theme="1"/>
        <rFont val="Times New Roman"/>
        <family val="1"/>
      </rPr>
      <t>do</t>
    </r>
    <r>
      <rPr>
        <sz val="11"/>
        <color theme="1"/>
        <rFont val="Times New Roman"/>
        <family val="1"/>
      </rPr>
      <t xml:space="preserve"> o costume]</t>
    </r>
  </si>
  <si>
    <r>
      <t>[↑mentalmt</t>
    </r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>]</t>
    </r>
  </si>
  <si>
    <r>
      <t xml:space="preserve">[.] </t>
    </r>
    <r>
      <rPr>
        <sz val="11"/>
        <color theme="1"/>
        <rFont val="Times New Roman"/>
        <family val="1"/>
      </rPr>
      <t>&lt;e&gt; Quando</t>
    </r>
  </si>
  <si>
    <t xml:space="preserve">&lt;Quando o al&gt; </t>
  </si>
  <si>
    <t>–  Agora esta</t>
  </si>
  <si>
    <t>&lt;– Não posso&gt; Para</t>
  </si>
  <si>
    <t>&lt;Para quê? – re&gt;</t>
  </si>
  <si>
    <t>– Já</t>
  </si>
  <si>
    <t>&lt;abaixando os olhos, como&gt; dizendo</t>
  </si>
  <si>
    <t>&lt;dizendo&gt; murmurando</t>
  </si>
  <si>
    <t>&lt;tiram da&gt; acham</t>
  </si>
  <si>
    <t>&lt;Minha filha&gt;[↑Ignez, a perdida,]</t>
  </si>
  <si>
    <t>&lt;Seu marido leu essas cartas&gt; Imagine, se pode as torturas</t>
  </si>
  <si>
    <t>&lt;comparar com&gt; recorde-se</t>
  </si>
  <si>
    <t>&lt;Alcan&gt; Badajoz</t>
  </si>
  <si>
    <t>&lt;de&gt;/que\</t>
  </si>
  <si>
    <t>&lt;§ E, dizendo,&gt; Conclua</t>
  </si>
  <si>
    <t>&lt;Conclua&gt;[↑ Aperfeiçôe]</t>
  </si>
  <si>
    <t>&lt;des&gt; mulher</t>
  </si>
  <si>
    <t>[↑disia]</t>
  </si>
  <si>
    <t>&lt;arrebatou-ma&gt; desfez-ma</t>
  </si>
  <si>
    <t>&lt;,&gt;[↑debaixo dos pes do seu desprezo,]</t>
  </si>
  <si>
    <t>&lt;,&gt;/d\ebaixo</t>
  </si>
  <si>
    <t>&lt;E&gt;/e\ste</t>
  </si>
  <si>
    <t>&lt;esta&gt; a</t>
  </si>
  <si>
    <t>&lt;deitou&gt; atirou</t>
  </si>
  <si>
    <t>[↑a tentativa]</t>
  </si>
  <si>
    <t>&lt;ligeira ferida de&gt; instantanea</t>
  </si>
  <si>
    <t>&lt;no recolhimento d&gt; com</t>
  </si>
  <si>
    <t>&lt;em Deus&gt; n’outra</t>
  </si>
  <si>
    <t>&lt;receba no seio do&gt; chame</t>
  </si>
  <si>
    <t>&lt;d&gt;/t\ambem</t>
  </si>
  <si>
    <t>&lt;– disse-lh&gt; e recebam</t>
  </si>
  <si>
    <t>[e disse-lhes:]</t>
  </si>
  <si>
    <t>á&lt;s&gt; fronteira</t>
  </si>
  <si>
    <t>&lt;e v&gt; e d’ahi</t>
  </si>
  <si>
    <t>&lt;fecha&gt; morrer</t>
  </si>
  <si>
    <t>&lt;Não&gt; Traçára</t>
  </si>
  <si>
    <t>&lt;fechan&gt;[↑encerran]do-se</t>
  </si>
  <si>
    <t>&lt;A saudade&gt;[↑Saudades]</t>
  </si>
  <si>
    <t>%M_sub_</t>
  </si>
  <si>
    <r>
      <t>&lt;Antº Mª&gt;[↑segd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marido]</t>
    </r>
  </si>
  <si>
    <t>pungente[s]</t>
  </si>
  <si>
    <t>&lt;fazer&gt;[↑abrir]em-lhe</t>
  </si>
  <si>
    <t>&lt;no&gt; renovadas</t>
  </si>
  <si>
    <t>&lt;†ava quantos&gt; indagava</t>
  </si>
  <si>
    <t>&lt;Miguel&gt;[↑Antº]</t>
  </si>
  <si>
    <t>&lt;†&gt; aquella</t>
  </si>
  <si>
    <t>&lt;com o&gt; a Cabeceiras</t>
  </si>
  <si>
    <t>&lt;. Elle achou&gt; e exclamaram</t>
  </si>
  <si>
    <t>&lt;estava&gt; amealhara</t>
  </si>
  <si>
    <t>&lt;na ponte&gt; em</t>
  </si>
  <si>
    <t>[↑quartel-mestre]</t>
  </si>
  <si>
    <t>[↑o marido de Caetana]</t>
  </si>
  <si>
    <t xml:space="preserve">mediata </t>
  </si>
  <si>
    <t xml:space="preserve">/c\avariam a sepultura </t>
  </si>
  <si>
    <t>&lt;†&gt; de ambos</t>
  </si>
  <si>
    <t>&lt;nome&gt; pseudonimo</t>
  </si>
  <si>
    <t>&lt;*res&gt; desanimado</t>
  </si>
  <si>
    <t>&lt;expurgo&gt;[↑&lt;*vingo&gt; poupo]</t>
  </si>
  <si>
    <t>&lt;a †&gt; bradou</t>
  </si>
  <si>
    <r>
      <t xml:space="preserve">&lt;das circunstancias&gt; </t>
    </r>
    <r>
      <rPr>
        <sz val="12"/>
        <color theme="1"/>
        <rFont val="Times New Roman"/>
        <family val="1"/>
      </rPr>
      <t xml:space="preserve">&lt;†&gt; </t>
    </r>
  </si>
  <si>
    <t>&lt;†&gt; figuras</t>
  </si>
  <si>
    <t>&lt;†&gt; oratorio</t>
  </si>
  <si>
    <t xml:space="preserve">&lt;o&gt;/as\ &lt;snr conego&gt; *camaras </t>
  </si>
  <si>
    <t xml:space="preserve">&lt;o&gt;/as\ </t>
  </si>
  <si>
    <t>&lt;que&gt; *o</t>
  </si>
  <si>
    <t>&lt;&lt;o&gt;/as\ &lt;snr conego&gt; *camaras &lt;que&gt; *o&gt; o snr.</t>
  </si>
  <si>
    <t>&lt;trez&gt; soube</t>
  </si>
  <si>
    <t>&lt;J&gt; Como</t>
  </si>
  <si>
    <t>&lt;†&gt; expiação</t>
  </si>
  <si>
    <t>[↑, deu na *criat]</t>
  </si>
  <si>
    <r>
      <t>&lt;Deus deu-me aquella filha como &lt;†&gt; expiação[↑, deu na *criat]&gt;[↑ Expiei, estou expiando nesta durissima penitencia de pai q</t>
    </r>
    <r>
      <rPr>
        <sz val="11"/>
        <color theme="1"/>
        <rFont val="TransRoman"/>
        <charset val="2"/>
      </rPr>
      <t>]</t>
    </r>
    <r>
      <rPr>
        <sz val="11"/>
        <color theme="1"/>
        <rFont val="Times New Roman"/>
        <family val="1"/>
      </rPr>
      <t> não tinha m</t>
    </r>
    <r>
      <rPr>
        <vertAlign val="superscript"/>
        <sz val="11"/>
        <color theme="1"/>
        <rFont val="Times New Roman"/>
        <family val="1"/>
      </rPr>
      <t>s</t>
    </r>
    <r>
      <rPr>
        <sz val="11"/>
        <color theme="1"/>
        <rFont val="Times New Roman"/>
        <family val="1"/>
      </rPr>
      <t xml:space="preserve"> nada n’este mundo senão ella.]</t>
    </r>
  </si>
  <si>
    <t>&lt;desfez o&gt; entrou</t>
  </si>
  <si>
    <t>d&lt;o&gt;/e\</t>
  </si>
  <si>
    <t>/a\</t>
  </si>
  <si>
    <t>Roj/o\</t>
  </si>
  <si>
    <t>/n\egociante</t>
  </si>
  <si>
    <t>&lt;á porta da rua&gt;[↑ ao pateo]</t>
  </si>
  <si>
    <r>
      <t>[q</t>
    </r>
    <r>
      <rPr>
        <sz val="12"/>
        <color theme="1"/>
        <rFont val="TransRoman"/>
        <charset val="2"/>
      </rPr>
      <t>]</t>
    </r>
    <r>
      <rPr>
        <sz val="12"/>
        <color theme="1"/>
        <rFont val="Times New Roman"/>
        <family val="1"/>
      </rPr>
      <t>]</t>
    </r>
  </si>
  <si>
    <t>que[r]</t>
  </si>
  <si>
    <t>m&lt;d&gt;/a\drugada</t>
  </si>
  <si>
    <t>&lt;tirou pela campainha&gt;[↑ &lt;†&gt; abriu a porta,]</t>
  </si>
  <si>
    <t>cont inc_mesma frase</t>
  </si>
  <si>
    <t>mesma palavra_alguns parágrafos</t>
  </si>
  <si>
    <t>(*)antes_mesma frase</t>
  </si>
  <si>
    <t>mesma palavra_alguns parágrafos – fl. 36</t>
  </si>
  <si>
    <t>(g)M_mesma frase</t>
  </si>
  <si>
    <t>(g)I_mesma frase</t>
  </si>
  <si>
    <t>(g)M(*antes)_mesma frase</t>
  </si>
  <si>
    <t>M_sup</t>
  </si>
  <si>
    <t>rep_mesma frase</t>
  </si>
  <si>
    <t>[, com um enfastiado tregeito,]</t>
  </si>
  <si>
    <t>&lt;Thereza&gt;[↑a viuva]</t>
  </si>
  <si>
    <t>M_entrelinnha</t>
  </si>
  <si>
    <t xml:space="preserve">%M_entrelinha </t>
  </si>
  <si>
    <t>%M_riscado</t>
  </si>
  <si>
    <t>M_entrelinha com chamada_ad</t>
  </si>
  <si>
    <t>[↑ sempre]</t>
  </si>
  <si>
    <t>&lt;era&gt;[↑seria]</t>
  </si>
  <si>
    <t>M_entrelinha com traço_ad</t>
  </si>
  <si>
    <t>M_entrelinha_ad</t>
  </si>
  <si>
    <t>(ª)M_entrelinha_ad</t>
  </si>
  <si>
    <t>M_margem_ad</t>
  </si>
  <si>
    <t>&lt;se&gt;</t>
  </si>
  <si>
    <t xml:space="preserve">[Se] </t>
  </si>
  <si>
    <t>M_retroprojecção_mesma frase</t>
  </si>
  <si>
    <t>M_projecção_mesma frase</t>
  </si>
  <si>
    <t>M_retroprojecção_frase contígua</t>
  </si>
  <si>
    <t>&lt;tivera em mim, quando entrei n’esta caza como medico de&gt; eu lhe mereci como medico</t>
  </si>
  <si>
    <t>I_retorno_mesma frase</t>
  </si>
  <si>
    <t>I_projecção_mesma frase</t>
  </si>
  <si>
    <t>M_retorno_mesma frase</t>
  </si>
  <si>
    <t>I_projecção_alguns parágrafos</t>
  </si>
  <si>
    <t>I_projecção_parágrafo contíguo</t>
  </si>
  <si>
    <t>&lt;Vá para Portugal. § *&gt; D. Rojo</t>
  </si>
  <si>
    <t>&lt;*&gt;</t>
  </si>
  <si>
    <t>I_retroprojecção_mesma frase</t>
  </si>
  <si>
    <t>I_retroprojecção_parágrafo contíguo</t>
  </si>
  <si>
    <t>(g)(*)M_mesma frase</t>
  </si>
  <si>
    <t>(g)&amp;M_mesma frase &amp;M_projecção_mesma frase</t>
  </si>
  <si>
    <t>M_projecção(*)_mesma frase</t>
  </si>
  <si>
    <t>M_projecção(*)_frase contígua</t>
  </si>
  <si>
    <t>M_projecção(*)_alguns parágrafos</t>
  </si>
  <si>
    <t>(g)M(projecção(*))_mesma frase</t>
  </si>
  <si>
    <t>(g)M_mesma frase M_projecção_mesma frase</t>
  </si>
  <si>
    <t>(g)I_mesma frase M_projecção_mesma frase</t>
  </si>
  <si>
    <t>(g)M(mesma palavra)_mesma frase M_projecção_mesma frase</t>
  </si>
  <si>
    <t>&lt;e&gt; disia</t>
  </si>
  <si>
    <t>&lt;*aos q&gt;/apontando\</t>
  </si>
  <si>
    <t>&lt;*a mote&gt; a sentença</t>
  </si>
  <si>
    <t>&lt;a coragem de trez *valente&gt; heroismos</t>
  </si>
  <si>
    <t>*</t>
  </si>
  <si>
    <t>vende&lt;*mo&gt;/m\-se</t>
  </si>
  <si>
    <t>&lt;da *casa que deshonraram&gt;</t>
  </si>
  <si>
    <t>&lt;, dos *luct&gt; republicanos</t>
  </si>
  <si>
    <t>&lt;sobre&gt; &lt;*c&gt;/e\sbatido</t>
  </si>
  <si>
    <t>&lt;*rece&gt; divisava</t>
  </si>
  <si>
    <t>(g)M_sobreposição</t>
  </si>
  <si>
    <t>(g)M_entrelinha</t>
  </si>
  <si>
    <t>(g)M_enrolado</t>
  </si>
  <si>
    <t>(g)M_oblíquo_sup</t>
  </si>
  <si>
    <t>(g)M_linha_adição</t>
  </si>
  <si>
    <t>(g)M_sobrepoisção</t>
  </si>
  <si>
    <t>(g)M_riscado</t>
  </si>
  <si>
    <t>(g)M_direito_sup</t>
  </si>
  <si>
    <t>(g)M_sobeposição</t>
  </si>
  <si>
    <t>(g)M_enrolado_sup</t>
  </si>
  <si>
    <t>(g)M_direito</t>
  </si>
  <si>
    <t>(g)M_linha</t>
  </si>
  <si>
    <t>(g)M_entrelinha_ad</t>
  </si>
  <si>
    <t>(g)M_oblíquo</t>
  </si>
  <si>
    <t>(g)M_entrelinha com chamada</t>
  </si>
  <si>
    <t>%M_entrelinha com traço_sub</t>
  </si>
  <si>
    <r>
      <t>[Veja</t>
    </r>
    <r>
      <rPr>
        <i/>
        <sz val="11"/>
        <color theme="1"/>
        <rFont val="Times New Roman"/>
        <family val="1"/>
      </rPr>
      <t xml:space="preserve"> Memoria do q̃ aconteceu na cadeia do Limoeiro (...) </t>
    </r>
    <r>
      <rPr>
        <sz val="11"/>
        <color theme="1"/>
        <rFont val="Times New Roman"/>
        <family val="1"/>
      </rPr>
      <t>Por Fr Claudio da Conceição, Lsª, 1828]</t>
    </r>
  </si>
  <si>
    <r>
      <t>[se a consciencia</t>
    </r>
    <r>
      <rPr>
        <sz val="12"/>
        <color theme="1"/>
        <rFont val="Times New Roman"/>
        <family val="1"/>
      </rPr>
      <t xml:space="preserve"> o não inquietava.] </t>
    </r>
  </si>
  <si>
    <t>M_linha_adição M_entrelinha_ad</t>
  </si>
  <si>
    <t>A - Cronologia das emendas</t>
  </si>
  <si>
    <t>?</t>
  </si>
  <si>
    <t>A1 - Emendas em que não é possível a definição da cronologia (?)</t>
  </si>
  <si>
    <t>B - Emendas múltiplas</t>
  </si>
  <si>
    <t>Imediata</t>
  </si>
  <si>
    <t>Mediata</t>
  </si>
  <si>
    <t>C - Operações de escrita</t>
  </si>
  <si>
    <t xml:space="preserve">C1 - Operações de escrita das emendas ligadas </t>
  </si>
  <si>
    <t xml:space="preserve">Adição </t>
  </si>
  <si>
    <t>Supressão</t>
  </si>
  <si>
    <t xml:space="preserve">Substituição </t>
  </si>
  <si>
    <t>Reordenação</t>
  </si>
  <si>
    <t>Total (soma)</t>
  </si>
  <si>
    <t>Total (confirmação)</t>
  </si>
  <si>
    <t>E - Topografia das emendas</t>
  </si>
  <si>
    <t xml:space="preserve">G - Amplitude </t>
  </si>
  <si>
    <t>G1 - Amplitude 1</t>
  </si>
  <si>
    <t>1.1. Direcção de sentido</t>
  </si>
  <si>
    <t>Projecção</t>
  </si>
  <si>
    <t>Retroprojecção</t>
  </si>
  <si>
    <t>Retorno</t>
  </si>
  <si>
    <t>Total (imediata)</t>
  </si>
  <si>
    <t>Total (mediata)</t>
  </si>
  <si>
    <t>Total (?)</t>
  </si>
  <si>
    <t>1.2. Emendas ligadas</t>
  </si>
  <si>
    <t>1.3. Repetições</t>
  </si>
  <si>
    <t xml:space="preserve">G2 - Amplitude 2 </t>
  </si>
  <si>
    <t>Substituições  entrelinha</t>
  </si>
  <si>
    <t>Substituições fim de linha</t>
  </si>
  <si>
    <t>Substituições por sobreposição</t>
  </si>
  <si>
    <t>Supressões</t>
  </si>
  <si>
    <t>Reordenações</t>
  </si>
  <si>
    <t>Adições fim de linha</t>
  </si>
  <si>
    <t>Adição</t>
  </si>
  <si>
    <t>Substituição</t>
  </si>
  <si>
    <t>Enrolado</t>
  </si>
  <si>
    <t>Direito</t>
  </si>
  <si>
    <t>Oblíquo</t>
  </si>
  <si>
    <t>Verso</t>
  </si>
  <si>
    <t>Margem</t>
  </si>
  <si>
    <t>Entrelinha</t>
  </si>
  <si>
    <t>Linha</t>
  </si>
  <si>
    <t>Sobreposição</t>
  </si>
  <si>
    <t>Entrelinha simples</t>
  </si>
  <si>
    <t>Entrelinha com chamada</t>
  </si>
  <si>
    <t>Entrelinha com traço</t>
  </si>
  <si>
    <t>Entrelinha inclinado</t>
  </si>
  <si>
    <t>Entrelinha total (soma)</t>
  </si>
  <si>
    <t>Entrelinha total (confirmação)</t>
  </si>
  <si>
    <t>Mesma frase</t>
  </si>
  <si>
    <t>Frase contígua</t>
  </si>
  <si>
    <t>Algumas frases</t>
  </si>
  <si>
    <t>Parágrafo contíguo</t>
  </si>
  <si>
    <t>Alguns parágrafos</t>
  </si>
  <si>
    <t>Mediata (ver G2)</t>
  </si>
  <si>
    <t>Repetições</t>
  </si>
  <si>
    <t>Emendas mediatas em que é possível saber o momento textual máximo de inserção</t>
  </si>
  <si>
    <t>Continuação incongruente</t>
  </si>
  <si>
    <t>Antes de sublinhado imediato</t>
  </si>
  <si>
    <t>Mesma palavra adiante</t>
  </si>
  <si>
    <t>Substituições simples</t>
  </si>
  <si>
    <t>Substituições de extensão maior</t>
  </si>
  <si>
    <t>Adições</t>
  </si>
  <si>
    <t>Adição mediata</t>
  </si>
  <si>
    <t>Adição ?</t>
  </si>
  <si>
    <t>Substituição imediata</t>
  </si>
  <si>
    <t>Substituição mediata</t>
  </si>
  <si>
    <t>Substituição ?</t>
  </si>
  <si>
    <t>&lt;*aos&gt; apaixonada</t>
  </si>
  <si>
    <t>#M_projecção_mesma frase</t>
  </si>
  <si>
    <t>I_projecção_frase contígua</t>
  </si>
  <si>
    <t>&lt;†&gt; abriu</t>
  </si>
  <si>
    <t>Sinónimo</t>
  </si>
  <si>
    <t>Redireccionamento</t>
  </si>
  <si>
    <t>Troca lexical</t>
  </si>
  <si>
    <t>Outros</t>
  </si>
  <si>
    <t>M_tl</t>
  </si>
  <si>
    <t>(*)M_tl</t>
  </si>
  <si>
    <t>M_ad</t>
  </si>
  <si>
    <t>M_g</t>
  </si>
  <si>
    <t>$M_sin</t>
  </si>
  <si>
    <t>M_sin</t>
  </si>
  <si>
    <t>I_projecção</t>
  </si>
  <si>
    <t>I_ns</t>
  </si>
  <si>
    <t>I_red</t>
  </si>
  <si>
    <t>I_tl</t>
  </si>
  <si>
    <t>M_red</t>
  </si>
  <si>
    <t>#M_red</t>
  </si>
  <si>
    <t>(*)M_red</t>
  </si>
  <si>
    <t>M_ling</t>
  </si>
  <si>
    <t>I_g</t>
  </si>
  <si>
    <t>(*)M_g</t>
  </si>
  <si>
    <t>M_projecção</t>
  </si>
  <si>
    <t>(*)M_sin</t>
  </si>
  <si>
    <t>I_retorno</t>
  </si>
  <si>
    <t>#M_g</t>
  </si>
  <si>
    <t>$M_ns</t>
  </si>
  <si>
    <t>M_ort</t>
  </si>
  <si>
    <t>I_ling</t>
  </si>
  <si>
    <t>M_pont</t>
  </si>
  <si>
    <t>$M_pont</t>
  </si>
  <si>
    <t>(*)M_ling</t>
  </si>
  <si>
    <t>#M_projecção</t>
  </si>
  <si>
    <t>I_sin</t>
  </si>
  <si>
    <t>#M_ort</t>
  </si>
  <si>
    <t>M_retroprojecção</t>
  </si>
  <si>
    <t>$M_g</t>
  </si>
  <si>
    <t>M_retorno</t>
  </si>
  <si>
    <t>I_retroprojecção</t>
  </si>
  <si>
    <t>$M_ort</t>
  </si>
  <si>
    <t>I_ort</t>
  </si>
  <si>
    <t>I_pont</t>
  </si>
  <si>
    <t>(*)M_pont</t>
  </si>
  <si>
    <t>$M_red</t>
  </si>
  <si>
    <t>M_ns</t>
  </si>
  <si>
    <t>#M_retroprojecção</t>
  </si>
  <si>
    <t>/M_reord</t>
  </si>
  <si>
    <t>&amp;M_ling</t>
  </si>
  <si>
    <t>&lt;*vingo&gt; poupo</t>
  </si>
  <si>
    <t>$M_tl</t>
  </si>
  <si>
    <t>Sup</t>
  </si>
  <si>
    <t>Reformulação</t>
  </si>
  <si>
    <t xml:space="preserve">Total: </t>
  </si>
  <si>
    <t>D - Traços de cancelamento</t>
  </si>
  <si>
    <t>Múltiplo</t>
  </si>
  <si>
    <t>1.1.1. Total de direcção de sentido sem especificação da cronologia das emendas</t>
  </si>
  <si>
    <t xml:space="preserve">Total </t>
  </si>
  <si>
    <t>Fólios</t>
  </si>
  <si>
    <t>Emendas</t>
  </si>
  <si>
    <t>Cronologia</t>
  </si>
  <si>
    <t>Operação de escrita</t>
  </si>
  <si>
    <t>Topografia</t>
  </si>
  <si>
    <t>Traço de cancelamento</t>
  </si>
  <si>
    <t>Amplitude</t>
  </si>
  <si>
    <t>Direcção de sentido</t>
  </si>
  <si>
    <t>I - Número de emendas por página</t>
  </si>
  <si>
    <t>H - Emendas mediatas com letra igual ao texto em seu redor</t>
  </si>
  <si>
    <t>Antes de cancelamento imediato</t>
  </si>
  <si>
    <t>D1 - Traços de cancelamento e operações de escrita</t>
  </si>
  <si>
    <t>E1 - Topografia das emendas na entrelinha</t>
  </si>
  <si>
    <t>E2 - Topografia das emendas e operações de escrita</t>
  </si>
  <si>
    <t xml:space="preserve"> F - Direcção de sentido (total: projecção, retroprojecção e retorno)</t>
  </si>
  <si>
    <t xml:space="preserve"> F1 - Direcção de sentido (sem emendas ligadas)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</si>
</sst>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Times New Roman"/>
      <family val="1"/>
    </font>
    <font>
      <sz val="8"/>
      <color theme="1"/>
      <name val="Calibri"/>
      <family val="2"/>
      <scheme val="minor"/>
    </font>
    <font>
      <sz val="12"/>
      <color rgb="FF000000"/>
      <name val="Times New Roman"/>
      <family val="1"/>
    </font>
    <font>
      <i/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222222"/>
      <name val="Arial"/>
      <family val="2"/>
    </font>
    <font>
      <sz val="11"/>
      <color theme="1"/>
      <name val="TransRoman"/>
      <charset val="2"/>
    </font>
    <font>
      <sz val="12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1F497D"/>
      <name val="Times New Roman"/>
      <family val="1"/>
    </font>
    <font>
      <sz val="12"/>
      <color theme="1"/>
      <name val="TransRoman"/>
      <charset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 style="thin">
        <color indexed="64"/>
      </bottom>
      <diagonal/>
    </border>
    <border>
      <left/>
      <right/>
      <top style="medium">
        <color rgb="FFFFFF00"/>
      </top>
      <bottom style="thin">
        <color indexed="64"/>
      </bottom>
      <diagonal/>
    </border>
    <border>
      <left style="medium">
        <color rgb="FF92D050"/>
      </left>
      <right/>
      <top style="medium">
        <color rgb="FF92D050"/>
      </top>
      <bottom style="thin">
        <color indexed="64"/>
      </bottom>
      <diagonal/>
    </border>
    <border>
      <left/>
      <right/>
      <top style="medium">
        <color rgb="FF92D050"/>
      </top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thin">
        <color indexed="64"/>
      </bottom>
      <diagonal/>
    </border>
    <border>
      <left/>
      <right/>
      <top style="medium">
        <color rgb="FF00B0F0"/>
      </top>
      <bottom style="thin">
        <color indexed="64"/>
      </bottom>
      <diagonal/>
    </border>
    <border>
      <left/>
      <right style="medium">
        <color rgb="FF00B0F0"/>
      </right>
      <top style="medium">
        <color rgb="FF00B0F0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/>
      <top style="thin">
        <color indexed="64"/>
      </top>
      <bottom style="medium">
        <color rgb="FFFFFF00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/>
      <top style="thin">
        <color indexed="64"/>
      </top>
      <bottom style="medium">
        <color rgb="FF92D050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medium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0" borderId="5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0" fillId="0" borderId="0" xfId="0" applyFill="1"/>
    <xf numFmtId="0" fontId="0" fillId="0" borderId="14" xfId="0" applyFill="1" applyBorder="1"/>
    <xf numFmtId="0" fontId="16" fillId="0" borderId="15" xfId="0" applyFont="1" applyBorder="1"/>
    <xf numFmtId="0" fontId="16" fillId="0" borderId="16" xfId="0" applyFont="1" applyBorder="1"/>
    <xf numFmtId="0" fontId="0" fillId="0" borderId="16" xfId="0" applyBorder="1"/>
    <xf numFmtId="0" fontId="0" fillId="0" borderId="17" xfId="0" applyBorder="1"/>
    <xf numFmtId="0" fontId="1" fillId="0" borderId="18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0" fillId="0" borderId="19" xfId="0" applyBorder="1"/>
    <xf numFmtId="0" fontId="0" fillId="0" borderId="20" xfId="0" applyBorder="1"/>
    <xf numFmtId="0" fontId="0" fillId="0" borderId="4" xfId="0" applyFill="1" applyBorder="1"/>
    <xf numFmtId="0" fontId="0" fillId="0" borderId="6" xfId="0" applyFill="1" applyBorder="1"/>
    <xf numFmtId="0" fontId="16" fillId="0" borderId="8" xfId="0" applyFont="1" applyFill="1" applyBorder="1"/>
    <xf numFmtId="0" fontId="16" fillId="0" borderId="9" xfId="0" applyFont="1" applyFill="1" applyBorder="1"/>
    <xf numFmtId="0" fontId="16" fillId="0" borderId="10" xfId="0" applyFont="1" applyFill="1" applyBorder="1"/>
    <xf numFmtId="0" fontId="0" fillId="0" borderId="11" xfId="0" applyBorder="1"/>
    <xf numFmtId="0" fontId="0" fillId="0" borderId="7" xfId="0" applyFill="1" applyBorder="1"/>
    <xf numFmtId="0" fontId="16" fillId="0" borderId="15" xfId="0" applyFont="1" applyFill="1" applyBorder="1"/>
    <xf numFmtId="0" fontId="0" fillId="0" borderId="16" xfId="0" applyFill="1" applyBorder="1"/>
    <xf numFmtId="0" fontId="0" fillId="0" borderId="17" xfId="0" applyFill="1" applyBorder="1"/>
    <xf numFmtId="0" fontId="0" fillId="0" borderId="20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" xfId="0" applyFill="1" applyBorder="1"/>
    <xf numFmtId="0" fontId="0" fillId="0" borderId="3" xfId="0" applyFill="1" applyBorder="1"/>
    <xf numFmtId="0" fontId="16" fillId="0" borderId="16" xfId="0" applyFont="1" applyFill="1" applyBorder="1"/>
    <xf numFmtId="0" fontId="0" fillId="0" borderId="18" xfId="0" applyBorder="1"/>
    <xf numFmtId="0" fontId="0" fillId="0" borderId="19" xfId="0" applyBorder="1" applyAlignment="1">
      <alignment vertical="center" wrapText="1"/>
    </xf>
    <xf numFmtId="0" fontId="0" fillId="0" borderId="19" xfId="0" applyFill="1" applyBorder="1" applyAlignment="1">
      <alignment vertical="center" wrapText="1"/>
    </xf>
    <xf numFmtId="0" fontId="1" fillId="0" borderId="20" xfId="0" applyFont="1" applyFill="1" applyBorder="1" applyAlignment="1">
      <alignment vertical="center" wrapText="1"/>
    </xf>
    <xf numFmtId="0" fontId="0" fillId="0" borderId="21" xfId="0" applyFill="1" applyBorder="1"/>
    <xf numFmtId="0" fontId="16" fillId="0" borderId="15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16" fillId="0" borderId="18" xfId="0" applyFont="1" applyBorder="1" applyAlignment="1">
      <alignment horizontal="left" vertical="center"/>
    </xf>
    <xf numFmtId="0" fontId="0" fillId="0" borderId="19" xfId="0" applyBorder="1" applyAlignment="1">
      <alignment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wrapText="1"/>
    </xf>
    <xf numFmtId="0" fontId="0" fillId="0" borderId="4" xfId="0" applyBorder="1" applyAlignment="1">
      <alignment vertical="center" wrapText="1"/>
    </xf>
    <xf numFmtId="0" fontId="16" fillId="0" borderId="22" xfId="0" applyFont="1" applyBorder="1"/>
    <xf numFmtId="0" fontId="0" fillId="0" borderId="23" xfId="0" applyBorder="1"/>
    <xf numFmtId="0" fontId="0" fillId="0" borderId="1" xfId="0" applyBorder="1"/>
    <xf numFmtId="0" fontId="16" fillId="0" borderId="11" xfId="0" applyFont="1" applyFill="1" applyBorder="1"/>
    <xf numFmtId="0" fontId="0" fillId="5" borderId="14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33" xfId="0" applyFill="1" applyBorder="1"/>
    <xf numFmtId="0" fontId="0" fillId="0" borderId="34" xfId="0" applyFill="1" applyBorder="1"/>
    <xf numFmtId="0" fontId="0" fillId="0" borderId="2" xfId="0" applyFill="1" applyBorder="1" applyAlignment="1">
      <alignment vertical="center" wrapText="1"/>
    </xf>
    <xf numFmtId="0" fontId="0" fillId="5" borderId="34" xfId="0" applyFill="1" applyBorder="1"/>
    <xf numFmtId="0" fontId="0" fillId="5" borderId="2" xfId="0" applyFill="1" applyBorder="1"/>
    <xf numFmtId="0" fontId="0" fillId="5" borderId="31" xfId="0" applyFill="1" applyBorder="1"/>
    <xf numFmtId="0" fontId="0" fillId="5" borderId="3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4" xfId="0" applyFill="1" applyBorder="1"/>
    <xf numFmtId="0" fontId="0" fillId="5" borderId="36" xfId="0" applyFill="1" applyBorder="1"/>
    <xf numFmtId="0" fontId="0" fillId="5" borderId="37" xfId="0" applyFill="1" applyBorder="1"/>
    <xf numFmtId="0" fontId="0" fillId="5" borderId="38" xfId="0" applyFill="1" applyBorder="1"/>
    <xf numFmtId="0" fontId="0" fillId="5" borderId="39" xfId="0" applyFill="1" applyBorder="1"/>
    <xf numFmtId="0" fontId="0" fillId="5" borderId="40" xfId="0" applyFill="1" applyBorder="1"/>
    <xf numFmtId="0" fontId="0" fillId="5" borderId="41" xfId="0" applyFill="1" applyBorder="1"/>
    <xf numFmtId="0" fontId="0" fillId="5" borderId="42" xfId="0" applyFill="1" applyBorder="1"/>
    <xf numFmtId="0" fontId="0" fillId="5" borderId="43" xfId="0" applyFill="1" applyBorder="1"/>
    <xf numFmtId="0" fontId="0" fillId="5" borderId="44" xfId="0" applyFill="1" applyBorder="1"/>
    <xf numFmtId="0" fontId="0" fillId="0" borderId="21" xfId="0" applyBorder="1"/>
    <xf numFmtId="0" fontId="16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2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45" xfId="0" applyBorder="1"/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16" fillId="0" borderId="17" xfId="0" applyFont="1" applyFill="1" applyBorder="1"/>
    <xf numFmtId="0" fontId="16" fillId="0" borderId="0" xfId="0" applyFont="1" applyFill="1" applyBorder="1"/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9" fillId="0" borderId="3" xfId="0" applyFont="1" applyBorder="1"/>
    <xf numFmtId="0" fontId="1" fillId="0" borderId="0" xfId="0" applyFont="1"/>
    <xf numFmtId="0" fontId="9" fillId="0" borderId="6" xfId="0" applyFont="1" applyBorder="1"/>
    <xf numFmtId="0" fontId="0" fillId="2" borderId="4" xfId="0" applyFill="1" applyBorder="1"/>
    <xf numFmtId="0" fontId="0" fillId="4" borderId="6" xfId="0" applyFill="1" applyBorder="1"/>
    <xf numFmtId="0" fontId="0" fillId="3" borderId="6" xfId="0" applyFill="1" applyBorder="1"/>
    <xf numFmtId="0" fontId="0" fillId="0" borderId="11" xfId="0" applyBorder="1" applyAlignment="1">
      <alignment wrapText="1"/>
    </xf>
    <xf numFmtId="0" fontId="0" fillId="0" borderId="12" xfId="0" applyBorder="1" applyAlignment="1">
      <alignment vertical="center" wrapText="1"/>
    </xf>
    <xf numFmtId="0" fontId="0" fillId="3" borderId="7" xfId="0" applyFill="1" applyBorder="1"/>
    <xf numFmtId="0" fontId="0" fillId="4" borderId="5" xfId="0" applyFill="1" applyBorder="1"/>
    <xf numFmtId="0" fontId="0" fillId="6" borderId="7" xfId="0" applyFill="1" applyBorder="1"/>
    <xf numFmtId="0" fontId="0" fillId="7" borderId="3" xfId="0" applyFill="1" applyBorder="1"/>
    <xf numFmtId="0" fontId="0" fillId="8" borderId="3" xfId="0" applyFill="1" applyBorder="1"/>
    <xf numFmtId="0" fontId="0" fillId="7" borderId="6" xfId="0" applyFill="1" applyBorder="1"/>
    <xf numFmtId="0" fontId="0" fillId="5" borderId="5" xfId="0" applyFill="1" applyBorder="1"/>
    <xf numFmtId="0" fontId="0" fillId="5" borderId="6" xfId="0" applyFill="1" applyBorder="1"/>
    <xf numFmtId="0" fontId="0" fillId="9" borderId="7" xfId="0" applyFill="1" applyBorder="1"/>
    <xf numFmtId="0" fontId="16" fillId="0" borderId="0" xfId="0" applyFont="1" applyBorder="1"/>
    <xf numFmtId="0" fontId="16" fillId="0" borderId="22" xfId="0" applyFont="1" applyFill="1" applyBorder="1"/>
    <xf numFmtId="0" fontId="0" fillId="0" borderId="23" xfId="0" applyFill="1" applyBorder="1"/>
    <xf numFmtId="0" fontId="0" fillId="0" borderId="47" xfId="0" applyFill="1" applyBorder="1"/>
    <xf numFmtId="0" fontId="0" fillId="9" borderId="14" xfId="0" applyFill="1" applyBorder="1"/>
    <xf numFmtId="0" fontId="0" fillId="9" borderId="35" xfId="0" applyFill="1" applyBorder="1"/>
    <xf numFmtId="0" fontId="0" fillId="5" borderId="46" xfId="0" applyFill="1" applyBorder="1"/>
    <xf numFmtId="0" fontId="0" fillId="6" borderId="46" xfId="0" applyFill="1" applyBorder="1"/>
    <xf numFmtId="0" fontId="0" fillId="5" borderId="20" xfId="0" applyFill="1" applyBorder="1"/>
    <xf numFmtId="0" fontId="0" fillId="0" borderId="2" xfId="0" applyFill="1" applyBorder="1" applyAlignment="1"/>
    <xf numFmtId="0" fontId="0" fillId="5" borderId="7" xfId="0" applyFill="1" applyBorder="1"/>
    <xf numFmtId="0" fontId="16" fillId="0" borderId="15" xfId="0" applyFont="1" applyBorder="1" applyAlignment="1"/>
    <xf numFmtId="0" fontId="16" fillId="0" borderId="16" xfId="0" applyFont="1" applyBorder="1" applyAlignment="1"/>
    <xf numFmtId="0" fontId="0" fillId="0" borderId="2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8" borderId="6" xfId="0" applyFill="1" applyBorder="1"/>
    <xf numFmtId="0" fontId="0" fillId="2" borderId="5" xfId="0" applyFill="1" applyBorder="1"/>
    <xf numFmtId="0" fontId="0" fillId="3" borderId="5" xfId="0" applyFill="1" applyBorder="1"/>
    <xf numFmtId="0" fontId="0" fillId="0" borderId="19" xfId="0" applyFill="1" applyBorder="1" applyAlignment="1">
      <alignment wrapText="1"/>
    </xf>
    <xf numFmtId="0" fontId="16" fillId="0" borderId="15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0" fillId="0" borderId="22" xfId="0" applyBorder="1"/>
    <xf numFmtId="0" fontId="0" fillId="4" borderId="20" xfId="0" applyFill="1" applyBorder="1"/>
    <xf numFmtId="0" fontId="0" fillId="4" borderId="4" xfId="0" applyFill="1" applyBorder="1"/>
    <xf numFmtId="0" fontId="0" fillId="4" borderId="7" xfId="0" applyFill="1" applyBorder="1"/>
    <xf numFmtId="0" fontId="16" fillId="0" borderId="22" xfId="0" applyFont="1" applyBorder="1" applyAlignment="1"/>
    <xf numFmtId="0" fontId="16" fillId="0" borderId="23" xfId="0" applyFont="1" applyBorder="1" applyAlignment="1"/>
    <xf numFmtId="0" fontId="0" fillId="10" borderId="7" xfId="0" applyFill="1" applyBorder="1"/>
    <xf numFmtId="0" fontId="0" fillId="0" borderId="48" xfId="0" applyBorder="1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49" xfId="0" applyFill="1" applyBorder="1"/>
    <xf numFmtId="0" fontId="0" fillId="0" borderId="48" xfId="0" applyFill="1" applyBorder="1"/>
    <xf numFmtId="0" fontId="0" fillId="0" borderId="50" xfId="0" applyFill="1" applyBorder="1"/>
    <xf numFmtId="0" fontId="0" fillId="2" borderId="50" xfId="0" applyFill="1" applyBorder="1"/>
    <xf numFmtId="0" fontId="0" fillId="4" borderId="50" xfId="0" applyFill="1" applyBorder="1"/>
    <xf numFmtId="0" fontId="0" fillId="3" borderId="50" xfId="0" applyFill="1" applyBorder="1"/>
    <xf numFmtId="0" fontId="0" fillId="0" borderId="35" xfId="0" applyFill="1" applyBorder="1"/>
    <xf numFmtId="0" fontId="0" fillId="0" borderId="51" xfId="0" applyFill="1" applyBorder="1"/>
    <xf numFmtId="0" fontId="0" fillId="10" borderId="51" xfId="0" applyFill="1" applyBorder="1"/>
    <xf numFmtId="0" fontId="1" fillId="11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wrapText="1"/>
    </xf>
    <xf numFmtId="0" fontId="0" fillId="0" borderId="0" xfId="0" applyFill="1" applyBorder="1" applyAlignment="1">
      <alignment vertical="center" wrapText="1"/>
    </xf>
    <xf numFmtId="0" fontId="16" fillId="0" borderId="22" xfId="0" applyFont="1" applyBorder="1" applyAlignment="1">
      <alignment horizontal="left"/>
    </xf>
    <xf numFmtId="0" fontId="16" fillId="0" borderId="23" xfId="0" applyFont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16" fillId="0" borderId="22" xfId="0" applyFont="1" applyFill="1" applyBorder="1" applyAlignment="1">
      <alignment horizontal="left"/>
    </xf>
    <xf numFmtId="0" fontId="16" fillId="0" borderId="23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vertical="center"/>
    </xf>
    <xf numFmtId="0" fontId="11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horizontal="justify" vertical="center"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horizontal="center" wrapText="1"/>
    </xf>
    <xf numFmtId="0" fontId="3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wrapText="1"/>
    </xf>
    <xf numFmtId="0" fontId="11" fillId="0" borderId="3" xfId="0" applyFont="1" applyFill="1" applyBorder="1"/>
    <xf numFmtId="0" fontId="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1"/>
  <sheetViews>
    <sheetView tabSelected="1" workbookViewId="0"/>
  </sheetViews>
  <sheetFormatPr defaultRowHeight="15" x14ac:dyDescent="0.25"/>
  <cols>
    <col min="1" max="2" width="9.140625" style="9"/>
    <col min="3" max="3" width="10.28515625" style="9" customWidth="1"/>
    <col min="4" max="4" width="11.28515625" style="9" customWidth="1"/>
    <col min="5" max="5" width="12.140625" style="9" customWidth="1"/>
    <col min="6" max="6" width="13" style="9" customWidth="1"/>
    <col min="7" max="7" width="11.140625" style="9" customWidth="1"/>
    <col min="8" max="8" width="9.140625" style="9"/>
    <col min="9" max="16384" width="9.140625" style="2"/>
  </cols>
  <sheetData>
    <row r="1" spans="1:12" ht="45" x14ac:dyDescent="0.25">
      <c r="A1" s="160" t="s">
        <v>957</v>
      </c>
      <c r="B1" s="160" t="s">
        <v>958</v>
      </c>
      <c r="C1" s="160" t="s">
        <v>959</v>
      </c>
      <c r="D1" s="160" t="s">
        <v>960</v>
      </c>
      <c r="E1" s="160" t="s">
        <v>961</v>
      </c>
      <c r="F1" s="160" t="s">
        <v>962</v>
      </c>
      <c r="G1" s="160" t="s">
        <v>963</v>
      </c>
      <c r="H1" s="160" t="s">
        <v>964</v>
      </c>
      <c r="I1" s="1"/>
      <c r="J1" s="1"/>
    </row>
    <row r="2" spans="1:12" ht="48" x14ac:dyDescent="0.25">
      <c r="A2" s="162">
        <v>1</v>
      </c>
      <c r="B2" s="162" t="s">
        <v>22</v>
      </c>
      <c r="C2" s="162" t="s">
        <v>23</v>
      </c>
      <c r="D2" s="162" t="s">
        <v>24</v>
      </c>
      <c r="E2" s="162" t="s">
        <v>25</v>
      </c>
      <c r="F2" s="162" t="s">
        <v>26</v>
      </c>
      <c r="G2" s="42"/>
      <c r="H2" s="42" t="s">
        <v>906</v>
      </c>
    </row>
    <row r="3" spans="1:12" ht="45" x14ac:dyDescent="0.25">
      <c r="A3" s="162">
        <v>1</v>
      </c>
      <c r="B3" s="162" t="s">
        <v>27</v>
      </c>
      <c r="C3" s="162" t="s">
        <v>36</v>
      </c>
      <c r="D3" s="162" t="s">
        <v>38</v>
      </c>
      <c r="E3" s="162" t="s">
        <v>3</v>
      </c>
      <c r="F3" s="162" t="s">
        <v>8</v>
      </c>
      <c r="G3" s="178"/>
      <c r="H3" s="178" t="s">
        <v>906</v>
      </c>
      <c r="I3" s="1"/>
    </row>
    <row r="4" spans="1:12" ht="45" x14ac:dyDescent="0.25">
      <c r="A4" s="162">
        <v>1</v>
      </c>
      <c r="B4" s="162" t="s">
        <v>32</v>
      </c>
      <c r="C4" s="162" t="s">
        <v>36</v>
      </c>
      <c r="D4" s="162" t="s">
        <v>38</v>
      </c>
      <c r="E4" s="162" t="s">
        <v>13</v>
      </c>
      <c r="F4" s="162" t="s">
        <v>8</v>
      </c>
      <c r="G4" s="42"/>
      <c r="H4" s="42" t="s">
        <v>906</v>
      </c>
    </row>
    <row r="5" spans="1:12" ht="45" x14ac:dyDescent="0.25">
      <c r="A5" s="162">
        <v>1</v>
      </c>
      <c r="B5" s="162" t="s">
        <v>34</v>
      </c>
      <c r="C5" s="162" t="s">
        <v>28</v>
      </c>
      <c r="D5" s="162" t="s">
        <v>29</v>
      </c>
      <c r="E5" s="162" t="s">
        <v>30</v>
      </c>
      <c r="F5" s="162" t="s">
        <v>31</v>
      </c>
      <c r="G5" s="42"/>
      <c r="H5" s="42" t="s">
        <v>907</v>
      </c>
    </row>
    <row r="6" spans="1:12" ht="45" x14ac:dyDescent="0.25">
      <c r="A6" s="162">
        <v>1</v>
      </c>
      <c r="B6" s="162" t="s">
        <v>35</v>
      </c>
      <c r="C6" s="162" t="s">
        <v>36</v>
      </c>
      <c r="D6" s="162" t="s">
        <v>37</v>
      </c>
      <c r="E6" s="162" t="s">
        <v>770</v>
      </c>
      <c r="F6" s="162"/>
      <c r="G6" s="42"/>
      <c r="H6" s="42" t="s">
        <v>908</v>
      </c>
    </row>
    <row r="7" spans="1:12" ht="45" x14ac:dyDescent="0.25">
      <c r="A7" s="162">
        <v>1</v>
      </c>
      <c r="B7" s="162" t="s">
        <v>772</v>
      </c>
      <c r="C7" s="162" t="s">
        <v>36</v>
      </c>
      <c r="D7" s="162" t="s">
        <v>38</v>
      </c>
      <c r="E7" s="162" t="s">
        <v>13</v>
      </c>
      <c r="F7" s="162" t="s">
        <v>8</v>
      </c>
      <c r="G7" s="179"/>
      <c r="H7" s="42" t="s">
        <v>906</v>
      </c>
    </row>
    <row r="8" spans="1:12" ht="45" x14ac:dyDescent="0.25">
      <c r="A8" s="162">
        <v>1</v>
      </c>
      <c r="B8" s="180" t="s">
        <v>771</v>
      </c>
      <c r="C8" s="162" t="s">
        <v>36</v>
      </c>
      <c r="D8" s="162" t="s">
        <v>37</v>
      </c>
      <c r="E8" s="162" t="s">
        <v>773</v>
      </c>
      <c r="F8" s="162"/>
      <c r="G8" s="179"/>
      <c r="H8" s="42" t="s">
        <v>908</v>
      </c>
    </row>
    <row r="9" spans="1:12" ht="30" x14ac:dyDescent="0.25">
      <c r="A9" s="162">
        <v>1</v>
      </c>
      <c r="B9" s="162" t="s">
        <v>39</v>
      </c>
      <c r="C9" s="162" t="s">
        <v>40</v>
      </c>
      <c r="D9" s="162" t="s">
        <v>41</v>
      </c>
      <c r="E9" s="162" t="s">
        <v>42</v>
      </c>
      <c r="F9" s="162"/>
      <c r="G9" s="42"/>
      <c r="H9" s="42" t="s">
        <v>910</v>
      </c>
    </row>
    <row r="10" spans="1:12" ht="45" x14ac:dyDescent="0.25">
      <c r="A10" s="162">
        <v>1</v>
      </c>
      <c r="B10" s="162" t="s">
        <v>43</v>
      </c>
      <c r="C10" s="162" t="s">
        <v>36</v>
      </c>
      <c r="D10" s="162" t="s">
        <v>38</v>
      </c>
      <c r="E10" s="162" t="s">
        <v>3</v>
      </c>
      <c r="F10" s="162" t="s">
        <v>8</v>
      </c>
      <c r="G10" s="42"/>
      <c r="H10" s="42" t="s">
        <v>911</v>
      </c>
    </row>
    <row r="11" spans="1:12" ht="45" x14ac:dyDescent="0.25">
      <c r="A11" s="162">
        <v>1</v>
      </c>
      <c r="B11" s="162" t="s">
        <v>44</v>
      </c>
      <c r="C11" s="162" t="s">
        <v>36</v>
      </c>
      <c r="D11" s="162" t="s">
        <v>38</v>
      </c>
      <c r="E11" s="162" t="s">
        <v>3</v>
      </c>
      <c r="F11" s="162" t="s">
        <v>8</v>
      </c>
      <c r="G11" s="178"/>
      <c r="H11" s="178" t="s">
        <v>906</v>
      </c>
      <c r="I11" s="3"/>
      <c r="J11" s="3"/>
      <c r="K11" s="3"/>
      <c r="L11" s="3"/>
    </row>
    <row r="12" spans="1:12" ht="45" x14ac:dyDescent="0.25">
      <c r="A12" s="162">
        <v>1</v>
      </c>
      <c r="B12" s="162" t="s">
        <v>766</v>
      </c>
      <c r="C12" s="162" t="s">
        <v>28</v>
      </c>
      <c r="D12" s="162" t="s">
        <v>29</v>
      </c>
      <c r="E12" s="162" t="s">
        <v>30</v>
      </c>
      <c r="F12" s="162" t="s">
        <v>184</v>
      </c>
      <c r="G12" s="42"/>
      <c r="H12" s="42" t="s">
        <v>907</v>
      </c>
    </row>
    <row r="13" spans="1:12" ht="78.75" x14ac:dyDescent="0.25">
      <c r="A13" s="162">
        <v>1</v>
      </c>
      <c r="B13" s="180" t="s">
        <v>765</v>
      </c>
      <c r="C13" s="162" t="s">
        <v>36</v>
      </c>
      <c r="D13" s="162" t="s">
        <v>37</v>
      </c>
      <c r="E13" s="162" t="s">
        <v>774</v>
      </c>
      <c r="F13" s="162"/>
      <c r="G13" s="42"/>
      <c r="H13" s="42" t="s">
        <v>908</v>
      </c>
    </row>
    <row r="14" spans="1:12" ht="45" x14ac:dyDescent="0.25">
      <c r="A14" s="162">
        <v>1</v>
      </c>
      <c r="B14" s="162" t="s">
        <v>45</v>
      </c>
      <c r="C14" s="162" t="s">
        <v>36</v>
      </c>
      <c r="D14" s="162" t="s">
        <v>37</v>
      </c>
      <c r="E14" s="162" t="s">
        <v>770</v>
      </c>
      <c r="F14" s="162"/>
      <c r="G14" s="42"/>
      <c r="H14" s="42" t="s">
        <v>908</v>
      </c>
    </row>
    <row r="15" spans="1:12" ht="45" x14ac:dyDescent="0.25">
      <c r="A15" s="162">
        <v>1</v>
      </c>
      <c r="B15" s="162" t="s">
        <v>46</v>
      </c>
      <c r="C15" s="162" t="s">
        <v>36</v>
      </c>
      <c r="D15" s="162" t="s">
        <v>37</v>
      </c>
      <c r="E15" s="162" t="s">
        <v>770</v>
      </c>
      <c r="F15" s="162"/>
      <c r="G15" s="42"/>
      <c r="H15" s="42" t="s">
        <v>908</v>
      </c>
    </row>
    <row r="16" spans="1:12" ht="45" x14ac:dyDescent="0.25">
      <c r="A16" s="162">
        <v>1</v>
      </c>
      <c r="B16" s="162" t="s">
        <v>47</v>
      </c>
      <c r="C16" s="162" t="s">
        <v>36</v>
      </c>
      <c r="D16" s="162" t="s">
        <v>38</v>
      </c>
      <c r="E16" s="162" t="s">
        <v>3</v>
      </c>
      <c r="F16" s="162" t="s">
        <v>6</v>
      </c>
      <c r="G16" s="42"/>
      <c r="H16" s="42" t="s">
        <v>906</v>
      </c>
    </row>
    <row r="17" spans="1:8" ht="30" x14ac:dyDescent="0.25">
      <c r="A17" s="162">
        <v>1</v>
      </c>
      <c r="B17" s="162" t="s">
        <v>48</v>
      </c>
      <c r="C17" s="162" t="s">
        <v>49</v>
      </c>
      <c r="D17" s="162" t="s">
        <v>38</v>
      </c>
      <c r="E17" s="162" t="s">
        <v>3</v>
      </c>
      <c r="F17" s="162" t="s">
        <v>6</v>
      </c>
      <c r="G17" s="42"/>
      <c r="H17" s="42" t="s">
        <v>906</v>
      </c>
    </row>
    <row r="18" spans="1:8" ht="45" x14ac:dyDescent="0.25">
      <c r="A18" s="162">
        <v>1</v>
      </c>
      <c r="B18" s="162" t="s">
        <v>50</v>
      </c>
      <c r="C18" s="162"/>
      <c r="D18" s="162" t="s">
        <v>51</v>
      </c>
      <c r="E18" s="162" t="s">
        <v>811</v>
      </c>
      <c r="F18" s="162"/>
      <c r="G18" s="163" t="s">
        <v>760</v>
      </c>
      <c r="H18" s="42"/>
    </row>
    <row r="19" spans="1:8" ht="45" x14ac:dyDescent="0.25">
      <c r="A19" s="162">
        <v>1</v>
      </c>
      <c r="B19" s="162" t="s">
        <v>52</v>
      </c>
      <c r="C19" s="162" t="s">
        <v>49</v>
      </c>
      <c r="D19" s="162" t="s">
        <v>37</v>
      </c>
      <c r="E19" s="162" t="s">
        <v>770</v>
      </c>
      <c r="F19" s="162"/>
      <c r="G19" s="42"/>
      <c r="H19" s="42" t="s">
        <v>908</v>
      </c>
    </row>
    <row r="20" spans="1:8" ht="30" x14ac:dyDescent="0.25">
      <c r="A20" s="162">
        <v>1</v>
      </c>
      <c r="B20" s="162" t="s">
        <v>53</v>
      </c>
      <c r="C20" s="162"/>
      <c r="D20" s="162" t="s">
        <v>51</v>
      </c>
      <c r="E20" s="162" t="s">
        <v>811</v>
      </c>
      <c r="F20" s="162"/>
      <c r="G20" s="163" t="s">
        <v>760</v>
      </c>
      <c r="H20" s="42"/>
    </row>
    <row r="21" spans="1:8" ht="75" x14ac:dyDescent="0.25">
      <c r="A21" s="162">
        <v>1</v>
      </c>
      <c r="B21" s="162" t="s">
        <v>54</v>
      </c>
      <c r="C21" s="162" t="s">
        <v>55</v>
      </c>
      <c r="D21" s="162" t="s">
        <v>56</v>
      </c>
      <c r="E21" s="162" t="s">
        <v>57</v>
      </c>
      <c r="F21" s="162" t="s">
        <v>5</v>
      </c>
      <c r="G21" s="162" t="s">
        <v>784</v>
      </c>
      <c r="H21" s="162" t="s">
        <v>912</v>
      </c>
    </row>
    <row r="22" spans="1:8" ht="30" x14ac:dyDescent="0.25">
      <c r="A22" s="162">
        <v>1</v>
      </c>
      <c r="B22" s="162" t="s">
        <v>58</v>
      </c>
      <c r="C22" s="162" t="s">
        <v>55</v>
      </c>
      <c r="D22" s="162" t="s">
        <v>56</v>
      </c>
      <c r="E22" s="162" t="s">
        <v>4</v>
      </c>
      <c r="F22" s="162"/>
      <c r="G22" s="42"/>
      <c r="H22" s="42" t="s">
        <v>913</v>
      </c>
    </row>
    <row r="23" spans="1:8" ht="45" x14ac:dyDescent="0.25">
      <c r="A23" s="162">
        <v>1</v>
      </c>
      <c r="B23" s="162" t="s">
        <v>59</v>
      </c>
      <c r="C23" s="162" t="s">
        <v>55</v>
      </c>
      <c r="D23" s="162" t="s">
        <v>56</v>
      </c>
      <c r="E23" s="162" t="s">
        <v>4</v>
      </c>
      <c r="F23" s="162" t="s">
        <v>2</v>
      </c>
      <c r="G23" s="162" t="s">
        <v>784</v>
      </c>
      <c r="H23" s="162" t="s">
        <v>912</v>
      </c>
    </row>
    <row r="24" spans="1:8" ht="105" x14ac:dyDescent="0.25">
      <c r="A24" s="162">
        <v>1</v>
      </c>
      <c r="B24" s="162" t="s">
        <v>60</v>
      </c>
      <c r="C24" s="162" t="s">
        <v>36</v>
      </c>
      <c r="D24" s="162" t="s">
        <v>38</v>
      </c>
      <c r="E24" s="162" t="s">
        <v>13</v>
      </c>
      <c r="F24" s="162" t="s">
        <v>8</v>
      </c>
      <c r="G24" s="42"/>
      <c r="H24" s="42" t="s">
        <v>906</v>
      </c>
    </row>
    <row r="25" spans="1:8" ht="45" x14ac:dyDescent="0.25">
      <c r="A25" s="162">
        <v>1</v>
      </c>
      <c r="B25" s="162" t="s">
        <v>898</v>
      </c>
      <c r="C25" s="162" t="s">
        <v>55</v>
      </c>
      <c r="D25" s="162" t="s">
        <v>56</v>
      </c>
      <c r="E25" s="162" t="s">
        <v>11</v>
      </c>
      <c r="F25" s="162" t="s">
        <v>10</v>
      </c>
      <c r="G25" s="42"/>
      <c r="H25" s="42" t="s">
        <v>913</v>
      </c>
    </row>
    <row r="26" spans="1:8" ht="93" customHeight="1" x14ac:dyDescent="0.25">
      <c r="A26" s="162">
        <v>1</v>
      </c>
      <c r="B26" s="162" t="s">
        <v>61</v>
      </c>
      <c r="C26" s="162" t="s">
        <v>55</v>
      </c>
      <c r="D26" s="162" t="s">
        <v>56</v>
      </c>
      <c r="E26" s="162" t="s">
        <v>57</v>
      </c>
      <c r="F26" s="162" t="s">
        <v>5</v>
      </c>
      <c r="G26" s="42"/>
      <c r="H26" s="42" t="s">
        <v>914</v>
      </c>
    </row>
    <row r="27" spans="1:8" ht="45" x14ac:dyDescent="0.25">
      <c r="A27" s="162">
        <v>1</v>
      </c>
      <c r="B27" s="162" t="s">
        <v>62</v>
      </c>
      <c r="C27" s="162" t="s">
        <v>55</v>
      </c>
      <c r="D27" s="162" t="s">
        <v>56</v>
      </c>
      <c r="E27" s="162" t="s">
        <v>11</v>
      </c>
      <c r="F27" s="162" t="s">
        <v>5</v>
      </c>
      <c r="G27" s="42"/>
      <c r="H27" s="42" t="s">
        <v>914</v>
      </c>
    </row>
    <row r="28" spans="1:8" ht="30" x14ac:dyDescent="0.25">
      <c r="A28" s="162">
        <v>1</v>
      </c>
      <c r="B28" s="162" t="s">
        <v>63</v>
      </c>
      <c r="C28" s="162" t="s">
        <v>64</v>
      </c>
      <c r="D28" s="162" t="s">
        <v>65</v>
      </c>
      <c r="E28" s="162"/>
      <c r="F28" s="162" t="s">
        <v>66</v>
      </c>
      <c r="G28" s="42"/>
      <c r="H28" s="42" t="s">
        <v>65</v>
      </c>
    </row>
    <row r="29" spans="1:8" x14ac:dyDescent="0.25">
      <c r="A29" s="162">
        <v>1</v>
      </c>
      <c r="B29" s="162" t="s">
        <v>67</v>
      </c>
      <c r="C29" s="162" t="s">
        <v>55</v>
      </c>
      <c r="D29" s="162" t="s">
        <v>56</v>
      </c>
      <c r="E29" s="162" t="s">
        <v>1</v>
      </c>
      <c r="F29" s="162" t="s">
        <v>10</v>
      </c>
      <c r="G29" s="42"/>
      <c r="H29" s="42" t="s">
        <v>913</v>
      </c>
    </row>
    <row r="30" spans="1:8" ht="75" x14ac:dyDescent="0.25">
      <c r="A30" s="162">
        <v>1</v>
      </c>
      <c r="B30" s="162" t="s">
        <v>68</v>
      </c>
      <c r="C30" s="162" t="s">
        <v>55</v>
      </c>
      <c r="D30" s="162" t="s">
        <v>56</v>
      </c>
      <c r="E30" s="162" t="s">
        <v>57</v>
      </c>
      <c r="F30" s="162" t="s">
        <v>10</v>
      </c>
      <c r="G30" s="42"/>
      <c r="H30" s="42" t="s">
        <v>915</v>
      </c>
    </row>
    <row r="31" spans="1:8" x14ac:dyDescent="0.25">
      <c r="A31" s="162">
        <v>1</v>
      </c>
      <c r="B31" s="162" t="s">
        <v>69</v>
      </c>
      <c r="C31" s="162" t="s">
        <v>55</v>
      </c>
      <c r="D31" s="162" t="s">
        <v>56</v>
      </c>
      <c r="E31" s="162" t="s">
        <v>1</v>
      </c>
      <c r="F31" s="162" t="s">
        <v>10</v>
      </c>
      <c r="G31" s="42"/>
      <c r="H31" s="42" t="s">
        <v>913</v>
      </c>
    </row>
    <row r="32" spans="1:8" ht="75" x14ac:dyDescent="0.25">
      <c r="A32" s="162">
        <v>1</v>
      </c>
      <c r="B32" s="162" t="s">
        <v>70</v>
      </c>
      <c r="C32" s="162" t="s">
        <v>727</v>
      </c>
      <c r="D32" s="162" t="s">
        <v>37</v>
      </c>
      <c r="E32" s="162" t="s">
        <v>770</v>
      </c>
      <c r="F32" s="162"/>
      <c r="G32" s="42"/>
      <c r="H32" s="42" t="s">
        <v>908</v>
      </c>
    </row>
    <row r="33" spans="1:8" ht="45" x14ac:dyDescent="0.25">
      <c r="A33" s="162">
        <v>1</v>
      </c>
      <c r="B33" s="162" t="s">
        <v>71</v>
      </c>
      <c r="C33" s="162" t="s">
        <v>36</v>
      </c>
      <c r="D33" s="162" t="s">
        <v>38</v>
      </c>
      <c r="E33" s="162" t="s">
        <v>3</v>
      </c>
      <c r="F33" s="162" t="s">
        <v>8</v>
      </c>
      <c r="G33" s="162" t="s">
        <v>756</v>
      </c>
      <c r="H33" s="162" t="s">
        <v>916</v>
      </c>
    </row>
    <row r="34" spans="1:8" ht="45" x14ac:dyDescent="0.25">
      <c r="A34" s="162">
        <v>1</v>
      </c>
      <c r="B34" s="181" t="s">
        <v>72</v>
      </c>
      <c r="C34" s="162" t="s">
        <v>36</v>
      </c>
      <c r="D34" s="162" t="s">
        <v>38</v>
      </c>
      <c r="E34" s="162" t="s">
        <v>3</v>
      </c>
      <c r="F34" s="162" t="s">
        <v>6</v>
      </c>
      <c r="G34" s="42"/>
      <c r="H34" s="42" t="s">
        <v>911</v>
      </c>
    </row>
    <row r="35" spans="1:8" ht="75" x14ac:dyDescent="0.25">
      <c r="A35" s="162">
        <v>1</v>
      </c>
      <c r="B35" s="181" t="s">
        <v>74</v>
      </c>
      <c r="C35" s="162" t="s">
        <v>36</v>
      </c>
      <c r="D35" s="162" t="s">
        <v>38</v>
      </c>
      <c r="E35" s="162" t="s">
        <v>3</v>
      </c>
      <c r="F35" s="162" t="s">
        <v>8</v>
      </c>
      <c r="G35" s="42"/>
      <c r="H35" s="42" t="s">
        <v>911</v>
      </c>
    </row>
    <row r="36" spans="1:8" ht="30" x14ac:dyDescent="0.25">
      <c r="A36" s="162">
        <v>1</v>
      </c>
      <c r="B36" s="181" t="s">
        <v>75</v>
      </c>
      <c r="C36" s="162" t="s">
        <v>55</v>
      </c>
      <c r="D36" s="162" t="s">
        <v>76</v>
      </c>
      <c r="E36" s="162" t="s">
        <v>57</v>
      </c>
      <c r="F36" s="162" t="s">
        <v>10</v>
      </c>
      <c r="G36" s="42"/>
      <c r="H36" s="42" t="s">
        <v>913</v>
      </c>
    </row>
    <row r="37" spans="1:8" ht="105" x14ac:dyDescent="0.25">
      <c r="A37" s="162">
        <v>1</v>
      </c>
      <c r="B37" s="181" t="s">
        <v>77</v>
      </c>
      <c r="C37" s="162" t="s">
        <v>55</v>
      </c>
      <c r="D37" s="162" t="s">
        <v>76</v>
      </c>
      <c r="E37" s="162" t="s">
        <v>57</v>
      </c>
      <c r="F37" s="162" t="s">
        <v>10</v>
      </c>
      <c r="G37" s="42"/>
      <c r="H37" s="42" t="s">
        <v>928</v>
      </c>
    </row>
    <row r="38" spans="1:8" ht="60" x14ac:dyDescent="0.25">
      <c r="A38" s="162">
        <v>1</v>
      </c>
      <c r="B38" s="181" t="s">
        <v>78</v>
      </c>
      <c r="C38" s="162" t="s">
        <v>55</v>
      </c>
      <c r="D38" s="162" t="s">
        <v>76</v>
      </c>
      <c r="E38" s="162" t="s">
        <v>57</v>
      </c>
      <c r="F38" s="162" t="s">
        <v>5</v>
      </c>
      <c r="G38" s="42"/>
      <c r="H38" s="42" t="s">
        <v>914</v>
      </c>
    </row>
    <row r="39" spans="1:8" ht="45" x14ac:dyDescent="0.25">
      <c r="A39" s="162">
        <v>2</v>
      </c>
      <c r="B39" s="162" t="s">
        <v>79</v>
      </c>
      <c r="C39" s="162" t="s">
        <v>64</v>
      </c>
      <c r="D39" s="162" t="s">
        <v>65</v>
      </c>
      <c r="E39" s="162"/>
      <c r="F39" s="162" t="s">
        <v>80</v>
      </c>
      <c r="G39" s="42"/>
      <c r="H39" s="42" t="s">
        <v>917</v>
      </c>
    </row>
    <row r="40" spans="1:8" ht="45" x14ac:dyDescent="0.25">
      <c r="A40" s="162">
        <v>2</v>
      </c>
      <c r="B40" s="162" t="s">
        <v>81</v>
      </c>
      <c r="C40" s="162" t="s">
        <v>28</v>
      </c>
      <c r="D40" s="162" t="s">
        <v>29</v>
      </c>
      <c r="E40" s="162" t="s">
        <v>30</v>
      </c>
      <c r="F40" s="162" t="s">
        <v>73</v>
      </c>
      <c r="G40" s="162" t="s">
        <v>756</v>
      </c>
      <c r="H40" s="162" t="s">
        <v>918</v>
      </c>
    </row>
    <row r="41" spans="1:8" ht="168" x14ac:dyDescent="0.25">
      <c r="A41" s="162">
        <v>2</v>
      </c>
      <c r="B41" s="162" t="s">
        <v>82</v>
      </c>
      <c r="C41" s="162" t="s">
        <v>36</v>
      </c>
      <c r="D41" s="162" t="s">
        <v>38</v>
      </c>
      <c r="E41" s="162" t="s">
        <v>3</v>
      </c>
      <c r="F41" s="162" t="s">
        <v>8</v>
      </c>
      <c r="G41" s="42"/>
      <c r="H41" s="42" t="s">
        <v>906</v>
      </c>
    </row>
    <row r="42" spans="1:8" ht="119.25" customHeight="1" x14ac:dyDescent="0.25">
      <c r="A42" s="162">
        <v>2</v>
      </c>
      <c r="B42" s="162" t="s">
        <v>83</v>
      </c>
      <c r="C42" s="162"/>
      <c r="D42" s="162" t="s">
        <v>51</v>
      </c>
      <c r="E42" s="162" t="s">
        <v>812</v>
      </c>
      <c r="F42" s="162" t="s">
        <v>813</v>
      </c>
      <c r="G42" s="163" t="s">
        <v>761</v>
      </c>
      <c r="H42" s="42"/>
    </row>
    <row r="43" spans="1:8" ht="90" x14ac:dyDescent="0.25">
      <c r="A43" s="162">
        <v>2</v>
      </c>
      <c r="B43" s="162" t="s">
        <v>84</v>
      </c>
      <c r="C43" s="162" t="s">
        <v>85</v>
      </c>
      <c r="D43" s="162" t="s">
        <v>56</v>
      </c>
      <c r="E43" s="162" t="s">
        <v>9</v>
      </c>
      <c r="F43" s="162" t="s">
        <v>5</v>
      </c>
      <c r="G43" s="42"/>
      <c r="H43" s="42" t="s">
        <v>914</v>
      </c>
    </row>
    <row r="44" spans="1:8" x14ac:dyDescent="0.25">
      <c r="A44" s="162">
        <v>2</v>
      </c>
      <c r="B44" s="162" t="s">
        <v>86</v>
      </c>
      <c r="C44" s="162" t="s">
        <v>49</v>
      </c>
      <c r="D44" s="162" t="s">
        <v>763</v>
      </c>
      <c r="E44" s="162"/>
      <c r="F44" s="162" t="s">
        <v>6</v>
      </c>
      <c r="G44" s="42"/>
      <c r="H44" s="42" t="s">
        <v>919</v>
      </c>
    </row>
    <row r="45" spans="1:8" ht="30" x14ac:dyDescent="0.25">
      <c r="A45" s="162">
        <v>2</v>
      </c>
      <c r="B45" s="162" t="s">
        <v>87</v>
      </c>
      <c r="C45" s="162"/>
      <c r="D45" s="162" t="s">
        <v>51</v>
      </c>
      <c r="E45" s="162" t="s">
        <v>811</v>
      </c>
      <c r="F45" s="162"/>
      <c r="G45" s="163" t="s">
        <v>760</v>
      </c>
      <c r="H45" s="42"/>
    </row>
    <row r="46" spans="1:8" ht="45" x14ac:dyDescent="0.25">
      <c r="A46" s="162">
        <v>2</v>
      </c>
      <c r="B46" s="162" t="s">
        <v>88</v>
      </c>
      <c r="C46" s="162" t="s">
        <v>36</v>
      </c>
      <c r="D46" s="162" t="s">
        <v>37</v>
      </c>
      <c r="E46" s="162" t="s">
        <v>770</v>
      </c>
      <c r="F46" s="162"/>
      <c r="G46" s="42"/>
      <c r="H46" s="42" t="s">
        <v>908</v>
      </c>
    </row>
    <row r="47" spans="1:8" ht="45" x14ac:dyDescent="0.25">
      <c r="A47" s="162">
        <v>2</v>
      </c>
      <c r="B47" s="162" t="s">
        <v>91</v>
      </c>
      <c r="C47" s="162" t="s">
        <v>36</v>
      </c>
      <c r="D47" s="162" t="s">
        <v>37</v>
      </c>
      <c r="E47" s="162" t="s">
        <v>770</v>
      </c>
      <c r="F47" s="162"/>
      <c r="G47" s="42"/>
      <c r="H47" s="42" t="s">
        <v>908</v>
      </c>
    </row>
    <row r="48" spans="1:8" ht="60" x14ac:dyDescent="0.25">
      <c r="A48" s="162">
        <v>2</v>
      </c>
      <c r="B48" s="162" t="s">
        <v>92</v>
      </c>
      <c r="C48" s="162" t="s">
        <v>55</v>
      </c>
      <c r="D48" s="162" t="s">
        <v>56</v>
      </c>
      <c r="E48" s="162" t="s">
        <v>11</v>
      </c>
      <c r="F48" s="162" t="s">
        <v>5</v>
      </c>
      <c r="G48" s="162" t="s">
        <v>784</v>
      </c>
      <c r="H48" s="162" t="s">
        <v>912</v>
      </c>
    </row>
    <row r="49" spans="1:8" ht="30" x14ac:dyDescent="0.25">
      <c r="A49" s="162">
        <v>2</v>
      </c>
      <c r="B49" s="162" t="s">
        <v>93</v>
      </c>
      <c r="C49" s="162" t="s">
        <v>55</v>
      </c>
      <c r="D49" s="162" t="s">
        <v>56</v>
      </c>
      <c r="E49" s="162" t="s">
        <v>9</v>
      </c>
      <c r="F49" s="162" t="s">
        <v>10</v>
      </c>
      <c r="G49" s="42"/>
      <c r="H49" s="42" t="s">
        <v>915</v>
      </c>
    </row>
    <row r="50" spans="1:8" ht="45" x14ac:dyDescent="0.25">
      <c r="A50" s="162">
        <v>2</v>
      </c>
      <c r="B50" s="162" t="s">
        <v>94</v>
      </c>
      <c r="C50" s="162" t="s">
        <v>214</v>
      </c>
      <c r="D50" s="162" t="s">
        <v>38</v>
      </c>
      <c r="E50" s="162" t="s">
        <v>3</v>
      </c>
      <c r="F50" s="162" t="s">
        <v>26</v>
      </c>
      <c r="G50" s="162" t="s">
        <v>794</v>
      </c>
      <c r="H50" s="162" t="s">
        <v>922</v>
      </c>
    </row>
    <row r="51" spans="1:8" ht="45" x14ac:dyDescent="0.25">
      <c r="A51" s="162">
        <v>2</v>
      </c>
      <c r="B51" s="162" t="s">
        <v>97</v>
      </c>
      <c r="C51" s="162"/>
      <c r="D51" s="162" t="s">
        <v>51</v>
      </c>
      <c r="E51" s="162" t="s">
        <v>811</v>
      </c>
      <c r="F51" s="162"/>
      <c r="G51" s="163" t="s">
        <v>797</v>
      </c>
      <c r="H51" s="42"/>
    </row>
    <row r="52" spans="1:8" ht="45" x14ac:dyDescent="0.25">
      <c r="A52" s="162">
        <v>2</v>
      </c>
      <c r="B52" s="162" t="s">
        <v>98</v>
      </c>
      <c r="C52" s="162"/>
      <c r="D52" s="162" t="s">
        <v>51</v>
      </c>
      <c r="E52" s="162" t="s">
        <v>811</v>
      </c>
      <c r="F52" s="162"/>
      <c r="G52" s="163" t="s">
        <v>797</v>
      </c>
      <c r="H52" s="42"/>
    </row>
    <row r="53" spans="1:8" ht="30" x14ac:dyDescent="0.25">
      <c r="A53" s="162">
        <v>2</v>
      </c>
      <c r="B53" s="162" t="s">
        <v>99</v>
      </c>
      <c r="C53" s="162" t="s">
        <v>55</v>
      </c>
      <c r="D53" s="162" t="s">
        <v>56</v>
      </c>
      <c r="E53" s="162" t="s">
        <v>57</v>
      </c>
      <c r="F53" s="162" t="s">
        <v>5</v>
      </c>
      <c r="G53" s="42"/>
      <c r="H53" s="42" t="s">
        <v>913</v>
      </c>
    </row>
    <row r="54" spans="1:8" ht="30" x14ac:dyDescent="0.25">
      <c r="A54" s="162">
        <v>2</v>
      </c>
      <c r="B54" s="162" t="s">
        <v>100</v>
      </c>
      <c r="C54" s="162" t="s">
        <v>55</v>
      </c>
      <c r="D54" s="162" t="s">
        <v>56</v>
      </c>
      <c r="E54" s="162" t="s">
        <v>57</v>
      </c>
      <c r="F54" s="162" t="s">
        <v>5</v>
      </c>
      <c r="G54" s="42"/>
      <c r="H54" s="42" t="s">
        <v>914</v>
      </c>
    </row>
    <row r="55" spans="1:8" ht="30" x14ac:dyDescent="0.25">
      <c r="A55" s="162">
        <v>2</v>
      </c>
      <c r="B55" s="162" t="s">
        <v>101</v>
      </c>
      <c r="C55" s="162" t="s">
        <v>55</v>
      </c>
      <c r="D55" s="162" t="s">
        <v>56</v>
      </c>
      <c r="E55" s="162" t="s">
        <v>4</v>
      </c>
      <c r="F55" s="162"/>
      <c r="G55" s="42"/>
      <c r="H55" s="42" t="s">
        <v>920</v>
      </c>
    </row>
    <row r="56" spans="1:8" ht="45" x14ac:dyDescent="0.25">
      <c r="A56" s="162">
        <v>2</v>
      </c>
      <c r="B56" s="162" t="s">
        <v>102</v>
      </c>
      <c r="C56" s="162" t="s">
        <v>49</v>
      </c>
      <c r="D56" s="162" t="s">
        <v>37</v>
      </c>
      <c r="E56" s="162" t="s">
        <v>770</v>
      </c>
      <c r="F56" s="162"/>
      <c r="G56" s="42"/>
      <c r="H56" s="42" t="s">
        <v>906</v>
      </c>
    </row>
    <row r="57" spans="1:8" ht="45" x14ac:dyDescent="0.25">
      <c r="A57" s="162">
        <v>2</v>
      </c>
      <c r="B57" s="162" t="s">
        <v>103</v>
      </c>
      <c r="C57" s="162" t="s">
        <v>36</v>
      </c>
      <c r="D57" s="162" t="s">
        <v>38</v>
      </c>
      <c r="E57" s="162" t="s">
        <v>3</v>
      </c>
      <c r="F57" s="162" t="s">
        <v>8</v>
      </c>
      <c r="G57" s="42"/>
      <c r="H57" s="42" t="s">
        <v>911</v>
      </c>
    </row>
    <row r="58" spans="1:8" ht="30" x14ac:dyDescent="0.25">
      <c r="A58" s="162">
        <v>2</v>
      </c>
      <c r="B58" s="162" t="s">
        <v>104</v>
      </c>
      <c r="C58" s="162"/>
      <c r="D58" s="162" t="s">
        <v>105</v>
      </c>
      <c r="E58" s="162"/>
      <c r="F58" s="162" t="s">
        <v>814</v>
      </c>
      <c r="G58" s="163" t="s">
        <v>760</v>
      </c>
      <c r="H58" s="42"/>
    </row>
    <row r="59" spans="1:8" ht="33" x14ac:dyDescent="0.25">
      <c r="A59" s="162">
        <v>2</v>
      </c>
      <c r="B59" s="162" t="s">
        <v>107</v>
      </c>
      <c r="C59" s="162" t="s">
        <v>36</v>
      </c>
      <c r="D59" s="162" t="s">
        <v>38</v>
      </c>
      <c r="E59" s="162" t="s">
        <v>3</v>
      </c>
      <c r="F59" s="162" t="s">
        <v>8</v>
      </c>
      <c r="G59" s="42"/>
      <c r="H59" s="42" t="s">
        <v>906</v>
      </c>
    </row>
    <row r="60" spans="1:8" ht="45" x14ac:dyDescent="0.25">
      <c r="A60" s="162">
        <v>2</v>
      </c>
      <c r="B60" s="162" t="s">
        <v>108</v>
      </c>
      <c r="C60" s="162" t="s">
        <v>28</v>
      </c>
      <c r="D60" s="162" t="s">
        <v>29</v>
      </c>
      <c r="E60" s="162" t="s">
        <v>30</v>
      </c>
      <c r="F60" s="162" t="s">
        <v>73</v>
      </c>
      <c r="G60" s="42"/>
      <c r="H60" s="42" t="s">
        <v>907</v>
      </c>
    </row>
    <row r="61" spans="1:8" ht="45" x14ac:dyDescent="0.25">
      <c r="A61" s="162">
        <v>2</v>
      </c>
      <c r="B61" s="162" t="s">
        <v>109</v>
      </c>
      <c r="C61" s="162" t="s">
        <v>55</v>
      </c>
      <c r="D61" s="162" t="s">
        <v>56</v>
      </c>
      <c r="E61" s="162" t="s">
        <v>11</v>
      </c>
      <c r="F61" s="162" t="s">
        <v>5</v>
      </c>
      <c r="G61" s="42"/>
      <c r="H61" s="42" t="s">
        <v>914</v>
      </c>
    </row>
    <row r="62" spans="1:8" ht="45" x14ac:dyDescent="0.25">
      <c r="A62" s="162">
        <v>2</v>
      </c>
      <c r="B62" s="162" t="s">
        <v>110</v>
      </c>
      <c r="C62" s="162" t="s">
        <v>36</v>
      </c>
      <c r="D62" s="162" t="s">
        <v>38</v>
      </c>
      <c r="E62" s="162" t="s">
        <v>3</v>
      </c>
      <c r="F62" s="162" t="s">
        <v>8</v>
      </c>
      <c r="G62" s="42"/>
      <c r="H62" s="42" t="s">
        <v>911</v>
      </c>
    </row>
    <row r="63" spans="1:8" ht="45" x14ac:dyDescent="0.25">
      <c r="A63" s="162">
        <v>2</v>
      </c>
      <c r="B63" s="162" t="s">
        <v>111</v>
      </c>
      <c r="C63" s="162" t="s">
        <v>23</v>
      </c>
      <c r="D63" s="162" t="s">
        <v>24</v>
      </c>
      <c r="E63" s="162" t="s">
        <v>96</v>
      </c>
      <c r="F63" s="162" t="s">
        <v>26</v>
      </c>
      <c r="G63" s="42"/>
      <c r="H63" s="42" t="s">
        <v>911</v>
      </c>
    </row>
    <row r="64" spans="1:8" ht="45" x14ac:dyDescent="0.25">
      <c r="A64" s="162">
        <v>2</v>
      </c>
      <c r="B64" s="162" t="s">
        <v>112</v>
      </c>
      <c r="C64" s="162" t="s">
        <v>28</v>
      </c>
      <c r="D64" s="162" t="s">
        <v>29</v>
      </c>
      <c r="E64" s="162" t="s">
        <v>30</v>
      </c>
      <c r="F64" s="162" t="s">
        <v>73</v>
      </c>
      <c r="G64" s="42"/>
      <c r="H64" s="42" t="s">
        <v>918</v>
      </c>
    </row>
    <row r="65" spans="1:8" ht="45" x14ac:dyDescent="0.25">
      <c r="A65" s="162">
        <v>2</v>
      </c>
      <c r="B65" s="162" t="s">
        <v>113</v>
      </c>
      <c r="C65" s="162" t="s">
        <v>28</v>
      </c>
      <c r="D65" s="162" t="s">
        <v>29</v>
      </c>
      <c r="E65" s="162" t="s">
        <v>30</v>
      </c>
      <c r="F65" s="162" t="s">
        <v>31</v>
      </c>
      <c r="G65" s="42"/>
      <c r="H65" s="42" t="s">
        <v>907</v>
      </c>
    </row>
    <row r="66" spans="1:8" ht="345" x14ac:dyDescent="0.25">
      <c r="A66" s="162">
        <v>3</v>
      </c>
      <c r="B66" s="162" t="s">
        <v>114</v>
      </c>
      <c r="C66" s="162" t="s">
        <v>115</v>
      </c>
      <c r="D66" s="162" t="s">
        <v>116</v>
      </c>
      <c r="E66" s="162" t="s">
        <v>117</v>
      </c>
      <c r="F66" s="162" t="s">
        <v>118</v>
      </c>
      <c r="G66" s="42"/>
      <c r="H66" s="42" t="s">
        <v>919</v>
      </c>
    </row>
    <row r="67" spans="1:8" ht="60.75" customHeight="1" x14ac:dyDescent="0.25">
      <c r="A67" s="162">
        <v>3</v>
      </c>
      <c r="B67" s="162" t="s">
        <v>119</v>
      </c>
      <c r="C67" s="162" t="s">
        <v>49</v>
      </c>
      <c r="D67" s="162" t="s">
        <v>38</v>
      </c>
      <c r="E67" s="162" t="s">
        <v>3</v>
      </c>
      <c r="F67" s="162" t="s">
        <v>8</v>
      </c>
      <c r="G67" s="42"/>
      <c r="H67" s="42" t="s">
        <v>906</v>
      </c>
    </row>
    <row r="68" spans="1:8" ht="30" x14ac:dyDescent="0.25">
      <c r="A68" s="162">
        <v>3</v>
      </c>
      <c r="B68" s="162" t="s">
        <v>120</v>
      </c>
      <c r="C68" s="162"/>
      <c r="D68" s="162" t="s">
        <v>51</v>
      </c>
      <c r="E68" s="162" t="s">
        <v>811</v>
      </c>
      <c r="F68" s="162"/>
      <c r="G68" s="163" t="s">
        <v>760</v>
      </c>
      <c r="H68" s="42"/>
    </row>
    <row r="69" spans="1:8" ht="120" x14ac:dyDescent="0.25">
      <c r="A69" s="162">
        <v>3</v>
      </c>
      <c r="B69" s="162" t="s">
        <v>121</v>
      </c>
      <c r="C69" s="162" t="s">
        <v>36</v>
      </c>
      <c r="D69" s="162" t="s">
        <v>38</v>
      </c>
      <c r="E69" s="162" t="s">
        <v>14</v>
      </c>
      <c r="F69" s="162" t="s">
        <v>8</v>
      </c>
      <c r="G69" s="42"/>
      <c r="H69" s="42" t="s">
        <v>916</v>
      </c>
    </row>
    <row r="70" spans="1:8" ht="45" x14ac:dyDescent="0.25">
      <c r="A70" s="162">
        <v>3</v>
      </c>
      <c r="B70" s="162" t="s">
        <v>122</v>
      </c>
      <c r="C70" s="162" t="s">
        <v>55</v>
      </c>
      <c r="D70" s="162" t="s">
        <v>56</v>
      </c>
      <c r="E70" s="162" t="s">
        <v>11</v>
      </c>
      <c r="F70" s="162" t="s">
        <v>10</v>
      </c>
      <c r="G70" s="162" t="s">
        <v>784</v>
      </c>
      <c r="H70" s="162" t="s">
        <v>912</v>
      </c>
    </row>
    <row r="71" spans="1:8" ht="45" x14ac:dyDescent="0.25">
      <c r="A71" s="162">
        <v>3</v>
      </c>
      <c r="B71" s="182" t="s">
        <v>123</v>
      </c>
      <c r="C71" s="182" t="s">
        <v>23</v>
      </c>
      <c r="D71" s="182" t="s">
        <v>24</v>
      </c>
      <c r="E71" s="182" t="s">
        <v>96</v>
      </c>
      <c r="F71" s="162" t="s">
        <v>26</v>
      </c>
      <c r="G71" s="183" t="s">
        <v>780</v>
      </c>
      <c r="H71" s="42" t="s">
        <v>922</v>
      </c>
    </row>
    <row r="72" spans="1:8" x14ac:dyDescent="0.25">
      <c r="A72" s="162">
        <v>3</v>
      </c>
      <c r="B72" s="182"/>
      <c r="C72" s="182"/>
      <c r="D72" s="182"/>
      <c r="E72" s="182"/>
      <c r="F72" s="162" t="s">
        <v>124</v>
      </c>
      <c r="G72" s="42"/>
      <c r="H72" s="42"/>
    </row>
    <row r="73" spans="1:8" ht="30" x14ac:dyDescent="0.25">
      <c r="A73" s="162">
        <v>3</v>
      </c>
      <c r="B73" s="162" t="s">
        <v>125</v>
      </c>
      <c r="C73" s="162" t="s">
        <v>23</v>
      </c>
      <c r="D73" s="162" t="s">
        <v>24</v>
      </c>
      <c r="E73" s="162" t="s">
        <v>96</v>
      </c>
      <c r="F73" s="162" t="s">
        <v>33</v>
      </c>
      <c r="G73" s="42"/>
      <c r="H73" s="42" t="s">
        <v>906</v>
      </c>
    </row>
    <row r="74" spans="1:8" ht="60.75" customHeight="1" x14ac:dyDescent="0.25">
      <c r="A74" s="162">
        <v>3</v>
      </c>
      <c r="B74" s="162" t="s">
        <v>126</v>
      </c>
      <c r="C74" s="162" t="s">
        <v>23</v>
      </c>
      <c r="D74" s="162" t="s">
        <v>24</v>
      </c>
      <c r="E74" s="162" t="s">
        <v>96</v>
      </c>
      <c r="F74" s="162" t="s">
        <v>33</v>
      </c>
      <c r="G74" s="42"/>
      <c r="H74" s="42" t="s">
        <v>906</v>
      </c>
    </row>
    <row r="75" spans="1:8" ht="45" x14ac:dyDescent="0.25">
      <c r="A75" s="162">
        <v>3</v>
      </c>
      <c r="B75" s="162" t="s">
        <v>127</v>
      </c>
      <c r="C75" s="162" t="s">
        <v>89</v>
      </c>
      <c r="D75" s="162" t="s">
        <v>90</v>
      </c>
      <c r="E75" s="162" t="s">
        <v>770</v>
      </c>
      <c r="F75" s="162"/>
      <c r="G75" s="42"/>
      <c r="H75" s="42" t="s">
        <v>908</v>
      </c>
    </row>
    <row r="76" spans="1:8" ht="45" x14ac:dyDescent="0.25">
      <c r="A76" s="162">
        <v>3</v>
      </c>
      <c r="B76" s="162" t="s">
        <v>128</v>
      </c>
      <c r="C76" s="162" t="s">
        <v>55</v>
      </c>
      <c r="D76" s="162" t="s">
        <v>56</v>
      </c>
      <c r="E76" s="162" t="s">
        <v>1</v>
      </c>
      <c r="F76" s="162" t="s">
        <v>5</v>
      </c>
      <c r="G76" s="42"/>
      <c r="H76" s="42" t="s">
        <v>913</v>
      </c>
    </row>
    <row r="77" spans="1:8" ht="45" x14ac:dyDescent="0.25">
      <c r="A77" s="162">
        <v>3</v>
      </c>
      <c r="B77" s="162" t="s">
        <v>129</v>
      </c>
      <c r="C77" s="162" t="s">
        <v>28</v>
      </c>
      <c r="D77" s="162" t="s">
        <v>29</v>
      </c>
      <c r="E77" s="162" t="s">
        <v>30</v>
      </c>
      <c r="F77" s="162" t="s">
        <v>31</v>
      </c>
      <c r="G77" s="42"/>
      <c r="H77" s="42" t="s">
        <v>923</v>
      </c>
    </row>
    <row r="78" spans="1:8" ht="30" x14ac:dyDescent="0.25">
      <c r="A78" s="162">
        <v>3</v>
      </c>
      <c r="B78" s="162" t="s">
        <v>747</v>
      </c>
      <c r="C78" s="162" t="s">
        <v>55</v>
      </c>
      <c r="D78" s="162" t="s">
        <v>56</v>
      </c>
      <c r="E78" s="162" t="s">
        <v>4</v>
      </c>
      <c r="F78" s="162"/>
      <c r="G78" s="42"/>
      <c r="H78" s="42" t="s">
        <v>913</v>
      </c>
    </row>
    <row r="79" spans="1:8" ht="60" x14ac:dyDescent="0.25">
      <c r="A79" s="162">
        <v>3</v>
      </c>
      <c r="B79" s="162" t="s">
        <v>130</v>
      </c>
      <c r="C79" s="162" t="s">
        <v>55</v>
      </c>
      <c r="D79" s="162" t="s">
        <v>56</v>
      </c>
      <c r="E79" s="162" t="s">
        <v>11</v>
      </c>
      <c r="F79" s="162" t="s">
        <v>5</v>
      </c>
      <c r="G79" s="42"/>
      <c r="H79" s="42" t="s">
        <v>914</v>
      </c>
    </row>
    <row r="80" spans="1:8" ht="168.75" customHeight="1" x14ac:dyDescent="0.25">
      <c r="A80" s="162">
        <v>3</v>
      </c>
      <c r="B80" s="162" t="s">
        <v>131</v>
      </c>
      <c r="C80" s="162" t="s">
        <v>55</v>
      </c>
      <c r="D80" s="162" t="s">
        <v>56</v>
      </c>
      <c r="E80" s="162" t="s">
        <v>11</v>
      </c>
      <c r="F80" s="162" t="s">
        <v>5</v>
      </c>
      <c r="G80" s="42"/>
      <c r="H80" s="42" t="s">
        <v>914</v>
      </c>
    </row>
    <row r="81" spans="1:8" ht="31.5" x14ac:dyDescent="0.25">
      <c r="A81" s="162">
        <v>3</v>
      </c>
      <c r="B81" s="162" t="s">
        <v>132</v>
      </c>
      <c r="C81" s="162" t="s">
        <v>49</v>
      </c>
      <c r="D81" s="162" t="s">
        <v>38</v>
      </c>
      <c r="E81" s="162" t="s">
        <v>3</v>
      </c>
      <c r="F81" s="162" t="s">
        <v>6</v>
      </c>
      <c r="G81" s="180" t="s">
        <v>758</v>
      </c>
      <c r="H81" s="42" t="s">
        <v>906</v>
      </c>
    </row>
    <row r="82" spans="1:8" ht="45" x14ac:dyDescent="0.25">
      <c r="A82" s="162">
        <v>3</v>
      </c>
      <c r="B82" s="162" t="s">
        <v>101</v>
      </c>
      <c r="C82" s="162"/>
      <c r="D82" s="162" t="s">
        <v>51</v>
      </c>
      <c r="E82" s="162" t="s">
        <v>812</v>
      </c>
      <c r="F82" s="162"/>
      <c r="G82" s="163" t="s">
        <v>762</v>
      </c>
      <c r="H82" s="42"/>
    </row>
    <row r="83" spans="1:8" ht="30" x14ac:dyDescent="0.25">
      <c r="A83" s="162">
        <v>3</v>
      </c>
      <c r="B83" s="162" t="s">
        <v>133</v>
      </c>
      <c r="C83" s="162" t="s">
        <v>55</v>
      </c>
      <c r="D83" s="162" t="s">
        <v>56</v>
      </c>
      <c r="E83" s="162" t="s">
        <v>9</v>
      </c>
      <c r="F83" s="162" t="s">
        <v>10</v>
      </c>
      <c r="G83" s="42"/>
      <c r="H83" s="42" t="s">
        <v>914</v>
      </c>
    </row>
    <row r="84" spans="1:8" ht="30" x14ac:dyDescent="0.25">
      <c r="A84" s="162">
        <v>3</v>
      </c>
      <c r="B84" s="162" t="s">
        <v>748</v>
      </c>
      <c r="C84" s="162" t="s">
        <v>55</v>
      </c>
      <c r="D84" s="162" t="s">
        <v>56</v>
      </c>
      <c r="E84" s="162" t="s">
        <v>4</v>
      </c>
      <c r="F84" s="162"/>
      <c r="G84" s="42"/>
      <c r="H84" s="42" t="s">
        <v>913</v>
      </c>
    </row>
    <row r="85" spans="1:8" ht="90" x14ac:dyDescent="0.25">
      <c r="A85" s="162">
        <v>3</v>
      </c>
      <c r="B85" s="162" t="s">
        <v>134</v>
      </c>
      <c r="C85" s="162" t="s">
        <v>55</v>
      </c>
      <c r="D85" s="162" t="s">
        <v>56</v>
      </c>
      <c r="E85" s="162" t="s">
        <v>9</v>
      </c>
      <c r="F85" s="162" t="s">
        <v>5</v>
      </c>
      <c r="G85" s="162" t="s">
        <v>783</v>
      </c>
      <c r="H85" s="162" t="s">
        <v>924</v>
      </c>
    </row>
    <row r="86" spans="1:8" ht="30" x14ac:dyDescent="0.25">
      <c r="A86" s="162">
        <v>3</v>
      </c>
      <c r="B86" s="162" t="s">
        <v>135</v>
      </c>
      <c r="C86" s="162" t="s">
        <v>55</v>
      </c>
      <c r="D86" s="162" t="s">
        <v>56</v>
      </c>
      <c r="E86" s="162" t="s">
        <v>9</v>
      </c>
      <c r="F86" s="162" t="s">
        <v>5</v>
      </c>
      <c r="G86" s="42"/>
      <c r="H86" s="42" t="s">
        <v>914</v>
      </c>
    </row>
    <row r="87" spans="1:8" ht="44.25" customHeight="1" x14ac:dyDescent="0.25">
      <c r="A87" s="162">
        <v>3</v>
      </c>
      <c r="B87" s="182" t="s">
        <v>136</v>
      </c>
      <c r="C87" s="182" t="s">
        <v>137</v>
      </c>
      <c r="D87" s="182" t="s">
        <v>56</v>
      </c>
      <c r="E87" s="182" t="s">
        <v>57</v>
      </c>
      <c r="F87" s="162" t="s">
        <v>5</v>
      </c>
      <c r="G87" s="42"/>
      <c r="H87" s="42" t="s">
        <v>914</v>
      </c>
    </row>
    <row r="88" spans="1:8" x14ac:dyDescent="0.25">
      <c r="A88" s="162">
        <v>3</v>
      </c>
      <c r="B88" s="182"/>
      <c r="C88" s="182"/>
      <c r="D88" s="182"/>
      <c r="E88" s="182"/>
      <c r="F88" s="162" t="s">
        <v>10</v>
      </c>
      <c r="G88" s="42"/>
      <c r="H88" s="42"/>
    </row>
    <row r="89" spans="1:8" ht="30" x14ac:dyDescent="0.25">
      <c r="A89" s="162">
        <v>3</v>
      </c>
      <c r="B89" s="162" t="s">
        <v>138</v>
      </c>
      <c r="C89" s="162"/>
      <c r="D89" s="162" t="s">
        <v>139</v>
      </c>
      <c r="E89" s="162" t="s">
        <v>815</v>
      </c>
      <c r="F89" s="162"/>
      <c r="G89" s="163" t="s">
        <v>761</v>
      </c>
      <c r="H89" s="42"/>
    </row>
    <row r="90" spans="1:8" ht="30" x14ac:dyDescent="0.25">
      <c r="A90" s="162">
        <v>3</v>
      </c>
      <c r="B90" s="162" t="s">
        <v>140</v>
      </c>
      <c r="C90" s="162"/>
      <c r="D90" s="162" t="s">
        <v>139</v>
      </c>
      <c r="E90" s="162" t="s">
        <v>815</v>
      </c>
      <c r="F90" s="162"/>
      <c r="G90" s="163" t="s">
        <v>761</v>
      </c>
      <c r="H90" s="42"/>
    </row>
    <row r="91" spans="1:8" ht="30" x14ac:dyDescent="0.25">
      <c r="A91" s="162">
        <v>3</v>
      </c>
      <c r="B91" s="162" t="s">
        <v>141</v>
      </c>
      <c r="C91" s="162" t="s">
        <v>85</v>
      </c>
      <c r="D91" s="162" t="s">
        <v>56</v>
      </c>
      <c r="E91" s="162" t="s">
        <v>57</v>
      </c>
      <c r="F91" s="162" t="s">
        <v>10</v>
      </c>
      <c r="G91" s="42"/>
      <c r="H91" s="42" t="s">
        <v>914</v>
      </c>
    </row>
    <row r="92" spans="1:8" ht="30" x14ac:dyDescent="0.25">
      <c r="A92" s="162">
        <v>3</v>
      </c>
      <c r="B92" s="162" t="s">
        <v>142</v>
      </c>
      <c r="C92" s="162"/>
      <c r="D92" s="162" t="s">
        <v>51</v>
      </c>
      <c r="E92" s="162" t="s">
        <v>816</v>
      </c>
      <c r="F92" s="162"/>
      <c r="G92" s="163" t="s">
        <v>761</v>
      </c>
      <c r="H92" s="42"/>
    </row>
    <row r="93" spans="1:8" x14ac:dyDescent="0.25">
      <c r="A93" s="162">
        <v>3</v>
      </c>
      <c r="B93" s="182" t="s">
        <v>143</v>
      </c>
      <c r="C93" s="182" t="s">
        <v>55</v>
      </c>
      <c r="D93" s="182" t="s">
        <v>56</v>
      </c>
      <c r="E93" s="182" t="s">
        <v>57</v>
      </c>
      <c r="F93" s="162" t="s">
        <v>5</v>
      </c>
      <c r="G93" s="42"/>
      <c r="H93" s="42" t="s">
        <v>914</v>
      </c>
    </row>
    <row r="94" spans="1:8" x14ac:dyDescent="0.25">
      <c r="A94" s="162">
        <v>3</v>
      </c>
      <c r="B94" s="182"/>
      <c r="C94" s="182"/>
      <c r="D94" s="182"/>
      <c r="E94" s="182"/>
      <c r="F94" s="162" t="s">
        <v>2</v>
      </c>
      <c r="G94" s="42"/>
      <c r="H94" s="42"/>
    </row>
    <row r="95" spans="1:8" ht="60" x14ac:dyDescent="0.25">
      <c r="A95" s="162">
        <v>3</v>
      </c>
      <c r="B95" s="162" t="s">
        <v>144</v>
      </c>
      <c r="C95" s="162" t="s">
        <v>23</v>
      </c>
      <c r="D95" s="162" t="s">
        <v>24</v>
      </c>
      <c r="E95" s="178" t="s">
        <v>826</v>
      </c>
      <c r="F95" s="178" t="s">
        <v>26</v>
      </c>
      <c r="G95" s="42"/>
      <c r="H95" s="42" t="s">
        <v>906</v>
      </c>
    </row>
    <row r="96" spans="1:8" ht="30" x14ac:dyDescent="0.25">
      <c r="A96" s="162">
        <v>4</v>
      </c>
      <c r="B96" s="162" t="s">
        <v>145</v>
      </c>
      <c r="C96" s="162" t="s">
        <v>55</v>
      </c>
      <c r="D96" s="162" t="s">
        <v>56</v>
      </c>
      <c r="E96" s="162" t="s">
        <v>4</v>
      </c>
      <c r="F96" s="162"/>
      <c r="G96" s="42"/>
      <c r="H96" s="42" t="s">
        <v>913</v>
      </c>
    </row>
    <row r="97" spans="1:8" ht="66" x14ac:dyDescent="0.25">
      <c r="A97" s="162">
        <v>4</v>
      </c>
      <c r="B97" s="162" t="s">
        <v>146</v>
      </c>
      <c r="C97" s="162" t="s">
        <v>28</v>
      </c>
      <c r="D97" s="162" t="s">
        <v>29</v>
      </c>
      <c r="E97" s="162" t="s">
        <v>30</v>
      </c>
      <c r="F97" s="162" t="s">
        <v>31</v>
      </c>
      <c r="G97" s="42"/>
      <c r="H97" s="42" t="s">
        <v>918</v>
      </c>
    </row>
    <row r="98" spans="1:8" ht="60" x14ac:dyDescent="0.25">
      <c r="A98" s="162">
        <v>4</v>
      </c>
      <c r="B98" s="162" t="s">
        <v>147</v>
      </c>
      <c r="C98" s="162" t="s">
        <v>36</v>
      </c>
      <c r="D98" s="162" t="s">
        <v>38</v>
      </c>
      <c r="E98" s="178" t="s">
        <v>3</v>
      </c>
      <c r="F98" s="178" t="s">
        <v>8</v>
      </c>
      <c r="G98" s="162" t="s">
        <v>794</v>
      </c>
      <c r="H98" s="42" t="s">
        <v>922</v>
      </c>
    </row>
    <row r="99" spans="1:8" ht="45" x14ac:dyDescent="0.25">
      <c r="A99" s="162">
        <v>4</v>
      </c>
      <c r="B99" s="162" t="s">
        <v>148</v>
      </c>
      <c r="C99" s="162" t="s">
        <v>36</v>
      </c>
      <c r="D99" s="162" t="s">
        <v>763</v>
      </c>
      <c r="E99" s="178"/>
      <c r="F99" s="178" t="s">
        <v>106</v>
      </c>
      <c r="G99" s="162" t="s">
        <v>794</v>
      </c>
      <c r="H99" s="42" t="s">
        <v>922</v>
      </c>
    </row>
    <row r="100" spans="1:8" x14ac:dyDescent="0.25">
      <c r="A100" s="162">
        <v>4</v>
      </c>
      <c r="B100" s="182" t="s">
        <v>149</v>
      </c>
      <c r="C100" s="182" t="s">
        <v>55</v>
      </c>
      <c r="D100" s="182" t="s">
        <v>56</v>
      </c>
      <c r="E100" s="182" t="s">
        <v>57</v>
      </c>
      <c r="F100" s="162" t="s">
        <v>5</v>
      </c>
      <c r="G100" s="42"/>
      <c r="H100" s="42" t="s">
        <v>913</v>
      </c>
    </row>
    <row r="101" spans="1:8" x14ac:dyDescent="0.25">
      <c r="A101" s="162">
        <v>4</v>
      </c>
      <c r="B101" s="182"/>
      <c r="C101" s="182"/>
      <c r="D101" s="182"/>
      <c r="E101" s="182"/>
      <c r="F101" s="162" t="s">
        <v>10</v>
      </c>
      <c r="G101" s="42"/>
      <c r="H101" s="42"/>
    </row>
    <row r="102" spans="1:8" ht="36" x14ac:dyDescent="0.25">
      <c r="A102" s="162">
        <v>4</v>
      </c>
      <c r="B102" s="184" t="s">
        <v>150</v>
      </c>
      <c r="C102" s="162" t="s">
        <v>151</v>
      </c>
      <c r="D102" s="162" t="s">
        <v>152</v>
      </c>
      <c r="E102" s="162"/>
      <c r="F102" s="162"/>
      <c r="G102" s="42"/>
      <c r="H102" s="42" t="s">
        <v>946</v>
      </c>
    </row>
    <row r="103" spans="1:8" ht="45" x14ac:dyDescent="0.25">
      <c r="A103" s="162">
        <v>4</v>
      </c>
      <c r="B103" s="162" t="s">
        <v>153</v>
      </c>
      <c r="C103" s="162" t="s">
        <v>85</v>
      </c>
      <c r="D103" s="162" t="s">
        <v>56</v>
      </c>
      <c r="E103" s="162" t="s">
        <v>57</v>
      </c>
      <c r="F103" s="162" t="s">
        <v>10</v>
      </c>
      <c r="G103" s="42"/>
      <c r="H103" s="42" t="s">
        <v>914</v>
      </c>
    </row>
    <row r="104" spans="1:8" ht="30" x14ac:dyDescent="0.25">
      <c r="A104" s="162">
        <v>4</v>
      </c>
      <c r="B104" s="162" t="s">
        <v>154</v>
      </c>
      <c r="C104" s="162"/>
      <c r="D104" s="162" t="s">
        <v>51</v>
      </c>
      <c r="E104" s="162" t="s">
        <v>811</v>
      </c>
      <c r="F104" s="162"/>
      <c r="G104" s="163" t="s">
        <v>761</v>
      </c>
      <c r="H104" s="42"/>
    </row>
    <row r="105" spans="1:8" ht="198" x14ac:dyDescent="0.25">
      <c r="A105" s="162">
        <v>4</v>
      </c>
      <c r="B105" s="162" t="s">
        <v>155</v>
      </c>
      <c r="C105" s="162" t="s">
        <v>156</v>
      </c>
      <c r="D105" s="162" t="s">
        <v>116</v>
      </c>
      <c r="E105" s="162" t="s">
        <v>117</v>
      </c>
      <c r="F105" s="162" t="s">
        <v>118</v>
      </c>
      <c r="G105" s="42"/>
      <c r="H105" s="42" t="s">
        <v>916</v>
      </c>
    </row>
    <row r="106" spans="1:8" ht="30" x14ac:dyDescent="0.25">
      <c r="A106" s="162">
        <v>4</v>
      </c>
      <c r="B106" s="162" t="s">
        <v>157</v>
      </c>
      <c r="C106" s="162"/>
      <c r="D106" s="162" t="s">
        <v>139</v>
      </c>
      <c r="E106" s="162" t="s">
        <v>815</v>
      </c>
      <c r="F106" s="162"/>
      <c r="G106" s="163" t="s">
        <v>760</v>
      </c>
      <c r="H106" s="42"/>
    </row>
    <row r="107" spans="1:8" x14ac:dyDescent="0.25">
      <c r="A107" s="162">
        <v>4</v>
      </c>
      <c r="B107" s="162" t="s">
        <v>158</v>
      </c>
      <c r="C107" s="162" t="s">
        <v>64</v>
      </c>
      <c r="D107" s="162" t="s">
        <v>65</v>
      </c>
      <c r="E107" s="162"/>
      <c r="F107" s="162" t="s">
        <v>159</v>
      </c>
      <c r="G107" s="42"/>
      <c r="H107" s="42" t="s">
        <v>925</v>
      </c>
    </row>
    <row r="108" spans="1:8" ht="60" x14ac:dyDescent="0.25">
      <c r="A108" s="162">
        <v>4</v>
      </c>
      <c r="B108" s="162" t="s">
        <v>160</v>
      </c>
      <c r="C108" s="162" t="s">
        <v>36</v>
      </c>
      <c r="D108" s="162" t="s">
        <v>38</v>
      </c>
      <c r="E108" s="162" t="s">
        <v>3</v>
      </c>
      <c r="F108" s="162"/>
      <c r="G108" s="42"/>
      <c r="H108" s="42" t="s">
        <v>906</v>
      </c>
    </row>
    <row r="109" spans="1:8" ht="45" x14ac:dyDescent="0.25">
      <c r="A109" s="162">
        <v>4</v>
      </c>
      <c r="B109" s="162" t="s">
        <v>161</v>
      </c>
      <c r="C109" s="162" t="s">
        <v>49</v>
      </c>
      <c r="D109" s="162" t="s">
        <v>38</v>
      </c>
      <c r="E109" s="162" t="s">
        <v>3</v>
      </c>
      <c r="F109" s="162" t="s">
        <v>8</v>
      </c>
      <c r="G109" s="42"/>
      <c r="H109" s="42" t="s">
        <v>906</v>
      </c>
    </row>
    <row r="110" spans="1:8" ht="30" x14ac:dyDescent="0.25">
      <c r="A110" s="162">
        <v>4</v>
      </c>
      <c r="B110" s="162" t="s">
        <v>162</v>
      </c>
      <c r="C110" s="162"/>
      <c r="D110" s="162" t="s">
        <v>139</v>
      </c>
      <c r="E110" s="162" t="s">
        <v>815</v>
      </c>
      <c r="F110" s="162"/>
      <c r="G110" s="163" t="s">
        <v>760</v>
      </c>
      <c r="H110" s="42"/>
    </row>
    <row r="111" spans="1:8" ht="45" x14ac:dyDescent="0.25">
      <c r="A111" s="162">
        <v>4</v>
      </c>
      <c r="B111" s="162" t="s">
        <v>163</v>
      </c>
      <c r="C111" s="162" t="s">
        <v>55</v>
      </c>
      <c r="D111" s="162" t="s">
        <v>56</v>
      </c>
      <c r="E111" s="162" t="s">
        <v>11</v>
      </c>
      <c r="F111" s="162" t="s">
        <v>5</v>
      </c>
      <c r="G111" s="42"/>
      <c r="H111" s="42" t="s">
        <v>913</v>
      </c>
    </row>
    <row r="112" spans="1:8" ht="30" x14ac:dyDescent="0.25">
      <c r="A112" s="162">
        <v>4</v>
      </c>
      <c r="B112" s="162" t="s">
        <v>164</v>
      </c>
      <c r="C112" s="162" t="s">
        <v>55</v>
      </c>
      <c r="D112" s="162" t="s">
        <v>56</v>
      </c>
      <c r="E112" s="162" t="s">
        <v>57</v>
      </c>
      <c r="F112" s="162" t="s">
        <v>10</v>
      </c>
      <c r="G112" s="42"/>
      <c r="H112" s="42" t="s">
        <v>913</v>
      </c>
    </row>
    <row r="113" spans="1:8" ht="30" x14ac:dyDescent="0.25">
      <c r="A113" s="162">
        <v>4</v>
      </c>
      <c r="B113" s="162" t="s">
        <v>165</v>
      </c>
      <c r="C113" s="162" t="s">
        <v>85</v>
      </c>
      <c r="D113" s="162" t="s">
        <v>56</v>
      </c>
      <c r="E113" s="162" t="s">
        <v>57</v>
      </c>
      <c r="F113" s="162" t="s">
        <v>5</v>
      </c>
      <c r="G113" s="42"/>
      <c r="H113" s="42" t="s">
        <v>915</v>
      </c>
    </row>
    <row r="114" spans="1:8" ht="30" x14ac:dyDescent="0.25">
      <c r="A114" s="162">
        <v>4</v>
      </c>
      <c r="B114" s="162" t="s">
        <v>166</v>
      </c>
      <c r="C114" s="162"/>
      <c r="D114" s="162" t="s">
        <v>51</v>
      </c>
      <c r="E114" s="162" t="s">
        <v>811</v>
      </c>
      <c r="F114" s="162"/>
      <c r="G114" s="163" t="s">
        <v>761</v>
      </c>
      <c r="H114" s="42"/>
    </row>
    <row r="115" spans="1:8" ht="45" x14ac:dyDescent="0.25">
      <c r="A115" s="162">
        <v>4</v>
      </c>
      <c r="B115" s="162" t="s">
        <v>167</v>
      </c>
      <c r="C115" s="162" t="s">
        <v>40</v>
      </c>
      <c r="D115" s="162" t="s">
        <v>41</v>
      </c>
      <c r="E115" s="162" t="s">
        <v>42</v>
      </c>
      <c r="F115" s="162"/>
      <c r="G115" s="162" t="s">
        <v>756</v>
      </c>
      <c r="H115" s="42" t="s">
        <v>926</v>
      </c>
    </row>
    <row r="116" spans="1:8" ht="60" x14ac:dyDescent="0.25">
      <c r="A116" s="162">
        <v>4</v>
      </c>
      <c r="B116" s="162" t="s">
        <v>168</v>
      </c>
      <c r="C116" s="162" t="s">
        <v>55</v>
      </c>
      <c r="D116" s="162" t="s">
        <v>56</v>
      </c>
      <c r="E116" s="162" t="s">
        <v>57</v>
      </c>
      <c r="F116" s="162" t="s">
        <v>10</v>
      </c>
      <c r="G116" s="42"/>
      <c r="H116" s="42" t="s">
        <v>914</v>
      </c>
    </row>
    <row r="117" spans="1:8" ht="44.25" customHeight="1" x14ac:dyDescent="0.25">
      <c r="A117" s="162">
        <v>4</v>
      </c>
      <c r="B117" s="162" t="s">
        <v>169</v>
      </c>
      <c r="C117" s="162" t="s">
        <v>55</v>
      </c>
      <c r="D117" s="162" t="s">
        <v>56</v>
      </c>
      <c r="E117" s="162" t="s">
        <v>57</v>
      </c>
      <c r="F117" s="162" t="s">
        <v>10</v>
      </c>
      <c r="G117" s="42"/>
      <c r="H117" s="42" t="s">
        <v>915</v>
      </c>
    </row>
    <row r="118" spans="1:8" ht="75" x14ac:dyDescent="0.25">
      <c r="A118" s="162">
        <v>4</v>
      </c>
      <c r="B118" s="162" t="s">
        <v>170</v>
      </c>
      <c r="C118" s="162" t="s">
        <v>28</v>
      </c>
      <c r="D118" s="162" t="s">
        <v>29</v>
      </c>
      <c r="E118" s="162" t="s">
        <v>30</v>
      </c>
      <c r="F118" s="162" t="s">
        <v>31</v>
      </c>
      <c r="G118" s="42"/>
      <c r="H118" s="42" t="s">
        <v>907</v>
      </c>
    </row>
    <row r="119" spans="1:8" ht="30" x14ac:dyDescent="0.25">
      <c r="A119" s="162">
        <v>4</v>
      </c>
      <c r="B119" s="162" t="s">
        <v>171</v>
      </c>
      <c r="C119" s="162" t="s">
        <v>55</v>
      </c>
      <c r="D119" s="162" t="s">
        <v>56</v>
      </c>
      <c r="E119" s="162" t="s">
        <v>4</v>
      </c>
      <c r="F119" s="162"/>
      <c r="G119" s="42"/>
      <c r="H119" s="42" t="s">
        <v>914</v>
      </c>
    </row>
    <row r="120" spans="1:8" ht="45" x14ac:dyDescent="0.25">
      <c r="A120" s="162">
        <v>5</v>
      </c>
      <c r="B120" s="162" t="s">
        <v>172</v>
      </c>
      <c r="C120" s="162" t="s">
        <v>36</v>
      </c>
      <c r="D120" s="162" t="s">
        <v>38</v>
      </c>
      <c r="E120" s="162" t="s">
        <v>13</v>
      </c>
      <c r="F120" s="162" t="s">
        <v>8</v>
      </c>
      <c r="G120" s="42"/>
      <c r="H120" s="42" t="s">
        <v>911</v>
      </c>
    </row>
    <row r="121" spans="1:8" ht="30" x14ac:dyDescent="0.25">
      <c r="A121" s="162">
        <v>5</v>
      </c>
      <c r="B121" s="162" t="s">
        <v>174</v>
      </c>
      <c r="C121" s="162" t="s">
        <v>28</v>
      </c>
      <c r="D121" s="162" t="s">
        <v>29</v>
      </c>
      <c r="E121" s="162" t="s">
        <v>30</v>
      </c>
      <c r="F121" s="162" t="s">
        <v>31</v>
      </c>
      <c r="G121" s="42"/>
      <c r="H121" s="42" t="s">
        <v>907</v>
      </c>
    </row>
    <row r="122" spans="1:8" ht="135" x14ac:dyDescent="0.25">
      <c r="A122" s="162">
        <v>5</v>
      </c>
      <c r="B122" s="162" t="s">
        <v>175</v>
      </c>
      <c r="C122" s="162" t="s">
        <v>23</v>
      </c>
      <c r="D122" s="162" t="s">
        <v>24</v>
      </c>
      <c r="E122" s="162" t="s">
        <v>25</v>
      </c>
      <c r="F122" s="162" t="s">
        <v>33</v>
      </c>
      <c r="G122" s="42"/>
      <c r="H122" s="42" t="s">
        <v>916</v>
      </c>
    </row>
    <row r="123" spans="1:8" ht="45" x14ac:dyDescent="0.25">
      <c r="A123" s="162">
        <v>5</v>
      </c>
      <c r="B123" s="162" t="s">
        <v>176</v>
      </c>
      <c r="C123" s="162" t="s">
        <v>64</v>
      </c>
      <c r="D123" s="162" t="s">
        <v>65</v>
      </c>
      <c r="E123" s="162"/>
      <c r="F123" s="162" t="s">
        <v>177</v>
      </c>
      <c r="G123" s="42"/>
      <c r="H123" s="42" t="s">
        <v>917</v>
      </c>
    </row>
    <row r="124" spans="1:8" ht="15" customHeight="1" x14ac:dyDescent="0.25">
      <c r="A124" s="162">
        <v>5</v>
      </c>
      <c r="B124" s="182" t="s">
        <v>178</v>
      </c>
      <c r="C124" s="182" t="s">
        <v>55</v>
      </c>
      <c r="D124" s="182" t="s">
        <v>56</v>
      </c>
      <c r="E124" s="182" t="s">
        <v>57</v>
      </c>
      <c r="F124" s="162" t="s">
        <v>10</v>
      </c>
      <c r="G124" s="42"/>
      <c r="H124" s="42"/>
    </row>
    <row r="125" spans="1:8" ht="30" customHeight="1" x14ac:dyDescent="0.25">
      <c r="A125" s="162">
        <v>5</v>
      </c>
      <c r="B125" s="182"/>
      <c r="C125" s="182"/>
      <c r="D125" s="182"/>
      <c r="E125" s="182"/>
      <c r="F125" s="162" t="s">
        <v>2</v>
      </c>
      <c r="G125" s="42"/>
      <c r="H125" s="42" t="s">
        <v>914</v>
      </c>
    </row>
    <row r="126" spans="1:8" ht="30" x14ac:dyDescent="0.25">
      <c r="A126" s="162">
        <v>5</v>
      </c>
      <c r="B126" s="162" t="s">
        <v>179</v>
      </c>
      <c r="C126" s="162" t="s">
        <v>55</v>
      </c>
      <c r="D126" s="162" t="s">
        <v>56</v>
      </c>
      <c r="E126" s="162" t="s">
        <v>11</v>
      </c>
      <c r="F126" s="162" t="s">
        <v>10</v>
      </c>
      <c r="G126" s="42"/>
      <c r="H126" s="42" t="s">
        <v>913</v>
      </c>
    </row>
    <row r="127" spans="1:8" ht="45" x14ac:dyDescent="0.25">
      <c r="A127" s="162">
        <v>5</v>
      </c>
      <c r="B127" s="162" t="s">
        <v>180</v>
      </c>
      <c r="C127" s="162" t="s">
        <v>89</v>
      </c>
      <c r="D127" s="162" t="s">
        <v>90</v>
      </c>
      <c r="E127" s="162" t="s">
        <v>770</v>
      </c>
      <c r="F127" s="162"/>
      <c r="G127" s="42"/>
      <c r="H127" s="42" t="s">
        <v>908</v>
      </c>
    </row>
    <row r="128" spans="1:8" ht="30" x14ac:dyDescent="0.25">
      <c r="A128" s="162">
        <v>5</v>
      </c>
      <c r="B128" s="162" t="s">
        <v>181</v>
      </c>
      <c r="C128" s="162" t="s">
        <v>28</v>
      </c>
      <c r="D128" s="162" t="s">
        <v>29</v>
      </c>
      <c r="E128" s="162" t="s">
        <v>30</v>
      </c>
      <c r="F128" s="162" t="s">
        <v>31</v>
      </c>
      <c r="G128" s="42"/>
      <c r="H128" s="42" t="s">
        <v>907</v>
      </c>
    </row>
    <row r="129" spans="1:8" ht="60" x14ac:dyDescent="0.25">
      <c r="A129" s="162">
        <v>6</v>
      </c>
      <c r="B129" s="162" t="s">
        <v>182</v>
      </c>
      <c r="C129" s="162" t="s">
        <v>36</v>
      </c>
      <c r="D129" s="162" t="s">
        <v>38</v>
      </c>
      <c r="E129" s="162" t="s">
        <v>3</v>
      </c>
      <c r="F129" s="162" t="s">
        <v>8</v>
      </c>
      <c r="G129" s="42"/>
      <c r="H129" s="42" t="s">
        <v>911</v>
      </c>
    </row>
    <row r="130" spans="1:8" ht="45" x14ac:dyDescent="0.25">
      <c r="A130" s="162">
        <v>6</v>
      </c>
      <c r="B130" s="162" t="s">
        <v>183</v>
      </c>
      <c r="C130" s="162" t="s">
        <v>23</v>
      </c>
      <c r="D130" s="162" t="s">
        <v>24</v>
      </c>
      <c r="E130" s="162" t="s">
        <v>96</v>
      </c>
      <c r="F130" s="162" t="s">
        <v>124</v>
      </c>
      <c r="G130" s="42"/>
      <c r="H130" s="42" t="s">
        <v>927</v>
      </c>
    </row>
    <row r="131" spans="1:8" ht="45" x14ac:dyDescent="0.25">
      <c r="A131" s="162">
        <v>6</v>
      </c>
      <c r="B131" s="162" t="s">
        <v>185</v>
      </c>
      <c r="C131" s="162" t="s">
        <v>36</v>
      </c>
      <c r="D131" s="162" t="s">
        <v>38</v>
      </c>
      <c r="E131" s="162" t="s">
        <v>3</v>
      </c>
      <c r="F131" s="162" t="s">
        <v>6</v>
      </c>
      <c r="G131" s="42"/>
      <c r="H131" s="42" t="s">
        <v>906</v>
      </c>
    </row>
    <row r="132" spans="1:8" ht="30" x14ac:dyDescent="0.25">
      <c r="A132" s="162">
        <v>6</v>
      </c>
      <c r="B132" s="162" t="s">
        <v>186</v>
      </c>
      <c r="C132" s="162" t="s">
        <v>36</v>
      </c>
      <c r="D132" s="162" t="s">
        <v>38</v>
      </c>
      <c r="E132" s="162" t="s">
        <v>767</v>
      </c>
      <c r="F132" s="162" t="s">
        <v>8</v>
      </c>
      <c r="G132" s="42"/>
      <c r="H132" s="42" t="s">
        <v>906</v>
      </c>
    </row>
    <row r="133" spans="1:8" ht="45" x14ac:dyDescent="0.25">
      <c r="A133" s="162">
        <v>6</v>
      </c>
      <c r="B133" s="162" t="s">
        <v>187</v>
      </c>
      <c r="C133" s="162" t="s">
        <v>36</v>
      </c>
      <c r="D133" s="162" t="s">
        <v>763</v>
      </c>
      <c r="E133" s="162"/>
      <c r="F133" s="162" t="s">
        <v>106</v>
      </c>
      <c r="G133" s="163" t="s">
        <v>756</v>
      </c>
      <c r="H133" s="42" t="s">
        <v>763</v>
      </c>
    </row>
    <row r="134" spans="1:8" ht="30" x14ac:dyDescent="0.25">
      <c r="A134" s="162">
        <v>6</v>
      </c>
      <c r="B134" s="162" t="s">
        <v>188</v>
      </c>
      <c r="C134" s="162" t="s">
        <v>36</v>
      </c>
      <c r="D134" s="162" t="s">
        <v>37</v>
      </c>
      <c r="E134" s="162" t="s">
        <v>774</v>
      </c>
      <c r="F134" s="162"/>
      <c r="G134" s="42"/>
      <c r="H134" s="42" t="s">
        <v>909</v>
      </c>
    </row>
    <row r="135" spans="1:8" ht="45" x14ac:dyDescent="0.25">
      <c r="A135" s="162">
        <v>6</v>
      </c>
      <c r="B135" s="162" t="s">
        <v>189</v>
      </c>
      <c r="C135" s="162" t="s">
        <v>36</v>
      </c>
      <c r="D135" s="162" t="s">
        <v>38</v>
      </c>
      <c r="E135" s="162" t="s">
        <v>3</v>
      </c>
      <c r="F135" s="162" t="s">
        <v>8</v>
      </c>
      <c r="G135" s="162" t="s">
        <v>756</v>
      </c>
      <c r="H135" s="162" t="s">
        <v>919</v>
      </c>
    </row>
    <row r="136" spans="1:8" ht="30" x14ac:dyDescent="0.25">
      <c r="A136" s="162">
        <v>6</v>
      </c>
      <c r="B136" s="162" t="s">
        <v>190</v>
      </c>
      <c r="C136" s="162" t="s">
        <v>55</v>
      </c>
      <c r="D136" s="162" t="s">
        <v>56</v>
      </c>
      <c r="E136" s="162" t="s">
        <v>1</v>
      </c>
      <c r="F136" s="162" t="s">
        <v>2</v>
      </c>
      <c r="G136" s="42"/>
      <c r="H136" s="42" t="s">
        <v>920</v>
      </c>
    </row>
    <row r="137" spans="1:8" ht="30" x14ac:dyDescent="0.25">
      <c r="A137" s="162">
        <v>6</v>
      </c>
      <c r="B137" s="162" t="s">
        <v>58</v>
      </c>
      <c r="C137" s="162" t="s">
        <v>55</v>
      </c>
      <c r="D137" s="162" t="s">
        <v>56</v>
      </c>
      <c r="E137" s="162" t="s">
        <v>4</v>
      </c>
      <c r="F137" s="162"/>
      <c r="G137" s="42"/>
      <c r="H137" s="42" t="s">
        <v>913</v>
      </c>
    </row>
    <row r="138" spans="1:8" ht="30" x14ac:dyDescent="0.25">
      <c r="A138" s="162">
        <v>7</v>
      </c>
      <c r="B138" s="162" t="s">
        <v>191</v>
      </c>
      <c r="C138" s="162" t="s">
        <v>64</v>
      </c>
      <c r="D138" s="162" t="s">
        <v>65</v>
      </c>
      <c r="E138" s="162"/>
      <c r="F138" s="162" t="s">
        <v>192</v>
      </c>
      <c r="G138" s="42"/>
      <c r="H138" s="42" t="s">
        <v>65</v>
      </c>
    </row>
    <row r="139" spans="1:8" ht="45" x14ac:dyDescent="0.25">
      <c r="A139" s="162">
        <v>7</v>
      </c>
      <c r="B139" s="162" t="s">
        <v>193</v>
      </c>
      <c r="C139" s="162" t="s">
        <v>55</v>
      </c>
      <c r="D139" s="162" t="s">
        <v>56</v>
      </c>
      <c r="E139" s="162" t="s">
        <v>1</v>
      </c>
      <c r="F139" s="162" t="s">
        <v>10</v>
      </c>
      <c r="G139" s="42"/>
      <c r="H139" s="42" t="s">
        <v>913</v>
      </c>
    </row>
    <row r="140" spans="1:8" ht="30" x14ac:dyDescent="0.25">
      <c r="A140" s="162">
        <v>7</v>
      </c>
      <c r="B140" s="162" t="s">
        <v>194</v>
      </c>
      <c r="C140" s="162" t="s">
        <v>55</v>
      </c>
      <c r="D140" s="162" t="s">
        <v>56</v>
      </c>
      <c r="E140" s="162" t="s">
        <v>4</v>
      </c>
      <c r="F140" s="162"/>
      <c r="G140" s="42"/>
      <c r="H140" s="42" t="s">
        <v>914</v>
      </c>
    </row>
    <row r="141" spans="1:8" ht="60" x14ac:dyDescent="0.25">
      <c r="A141" s="162">
        <v>7</v>
      </c>
      <c r="B141" s="162" t="s">
        <v>195</v>
      </c>
      <c r="C141" s="162" t="s">
        <v>36</v>
      </c>
      <c r="D141" s="162" t="s">
        <v>38</v>
      </c>
      <c r="E141" s="162" t="s">
        <v>3</v>
      </c>
      <c r="F141" s="162" t="s">
        <v>8</v>
      </c>
      <c r="G141" s="162" t="s">
        <v>780</v>
      </c>
      <c r="H141" s="162" t="s">
        <v>922</v>
      </c>
    </row>
    <row r="142" spans="1:8" ht="45" x14ac:dyDescent="0.25">
      <c r="A142" s="162">
        <v>7</v>
      </c>
      <c r="B142" s="162" t="s">
        <v>196</v>
      </c>
      <c r="C142" s="162" t="s">
        <v>36</v>
      </c>
      <c r="D142" s="162" t="s">
        <v>38</v>
      </c>
      <c r="E142" s="162" t="s">
        <v>3</v>
      </c>
      <c r="F142" s="162" t="s">
        <v>8</v>
      </c>
      <c r="G142" s="42"/>
      <c r="H142" s="42" t="s">
        <v>906</v>
      </c>
    </row>
    <row r="143" spans="1:8" ht="30" x14ac:dyDescent="0.25">
      <c r="A143" s="162">
        <v>7</v>
      </c>
      <c r="B143" s="162" t="s">
        <v>197</v>
      </c>
      <c r="C143" s="162" t="s">
        <v>64</v>
      </c>
      <c r="D143" s="162" t="s">
        <v>65</v>
      </c>
      <c r="E143" s="162"/>
      <c r="F143" s="162" t="s">
        <v>66</v>
      </c>
      <c r="G143" s="42"/>
      <c r="H143" s="42" t="s">
        <v>925</v>
      </c>
    </row>
    <row r="144" spans="1:8" ht="30" x14ac:dyDescent="0.25">
      <c r="A144" s="162">
        <v>7</v>
      </c>
      <c r="B144" s="162" t="s">
        <v>53</v>
      </c>
      <c r="C144" s="162" t="s">
        <v>55</v>
      </c>
      <c r="D144" s="162" t="s">
        <v>56</v>
      </c>
      <c r="E144" s="162" t="s">
        <v>198</v>
      </c>
      <c r="F144" s="162"/>
      <c r="G144" s="42"/>
      <c r="H144" s="42" t="s">
        <v>920</v>
      </c>
    </row>
    <row r="145" spans="1:8" ht="75" x14ac:dyDescent="0.25">
      <c r="A145" s="162">
        <v>7</v>
      </c>
      <c r="B145" s="162" t="s">
        <v>199</v>
      </c>
      <c r="C145" s="162" t="s">
        <v>36</v>
      </c>
      <c r="D145" s="162" t="s">
        <v>38</v>
      </c>
      <c r="E145" s="162" t="s">
        <v>3</v>
      </c>
      <c r="F145" s="162" t="s">
        <v>8</v>
      </c>
      <c r="G145" s="42"/>
      <c r="H145" s="42" t="s">
        <v>906</v>
      </c>
    </row>
    <row r="146" spans="1:8" ht="45" x14ac:dyDescent="0.25">
      <c r="A146" s="162">
        <v>7</v>
      </c>
      <c r="B146" s="162" t="s">
        <v>200</v>
      </c>
      <c r="C146" s="162" t="s">
        <v>36</v>
      </c>
      <c r="D146" s="162" t="s">
        <v>38</v>
      </c>
      <c r="E146" s="162" t="s">
        <v>13</v>
      </c>
      <c r="F146" s="162" t="s">
        <v>8</v>
      </c>
      <c r="G146" s="42"/>
      <c r="H146" s="42" t="s">
        <v>906</v>
      </c>
    </row>
    <row r="147" spans="1:8" ht="30" x14ac:dyDescent="0.25">
      <c r="A147" s="162">
        <v>7</v>
      </c>
      <c r="B147" s="162" t="s">
        <v>201</v>
      </c>
      <c r="C147" s="162" t="s">
        <v>36</v>
      </c>
      <c r="D147" s="162" t="s">
        <v>38</v>
      </c>
      <c r="E147" s="162" t="s">
        <v>3</v>
      </c>
      <c r="F147" s="162" t="s">
        <v>8</v>
      </c>
      <c r="G147" s="42"/>
      <c r="H147" s="42" t="s">
        <v>906</v>
      </c>
    </row>
    <row r="148" spans="1:8" ht="30" x14ac:dyDescent="0.25">
      <c r="A148" s="162">
        <v>7</v>
      </c>
      <c r="B148" s="162" t="s">
        <v>202</v>
      </c>
      <c r="C148" s="162" t="s">
        <v>55</v>
      </c>
      <c r="D148" s="162" t="s">
        <v>56</v>
      </c>
      <c r="E148" s="162" t="s">
        <v>57</v>
      </c>
      <c r="F148" s="162" t="s">
        <v>10</v>
      </c>
      <c r="G148" s="42"/>
      <c r="H148" s="42" t="s">
        <v>913</v>
      </c>
    </row>
    <row r="149" spans="1:8" ht="30" x14ac:dyDescent="0.25">
      <c r="A149" s="162">
        <v>7</v>
      </c>
      <c r="B149" s="162" t="s">
        <v>203</v>
      </c>
      <c r="C149" s="162" t="s">
        <v>55</v>
      </c>
      <c r="D149" s="162" t="s">
        <v>56</v>
      </c>
      <c r="E149" s="162" t="s">
        <v>57</v>
      </c>
      <c r="F149" s="162" t="s">
        <v>10</v>
      </c>
      <c r="G149" s="42"/>
      <c r="H149" s="42" t="s">
        <v>914</v>
      </c>
    </row>
    <row r="150" spans="1:8" ht="45" x14ac:dyDescent="0.25">
      <c r="A150" s="162">
        <v>7</v>
      </c>
      <c r="B150" s="162" t="s">
        <v>728</v>
      </c>
      <c r="C150" s="162" t="s">
        <v>55</v>
      </c>
      <c r="D150" s="162" t="s">
        <v>56</v>
      </c>
      <c r="E150" s="162" t="s">
        <v>4</v>
      </c>
      <c r="F150" s="162"/>
      <c r="G150" s="42"/>
      <c r="H150" s="42" t="s">
        <v>913</v>
      </c>
    </row>
    <row r="151" spans="1:8" ht="31.5" x14ac:dyDescent="0.25">
      <c r="A151" s="162">
        <v>7</v>
      </c>
      <c r="B151" s="185" t="s">
        <v>729</v>
      </c>
      <c r="C151" s="162" t="s">
        <v>500</v>
      </c>
      <c r="D151" s="162" t="s">
        <v>56</v>
      </c>
      <c r="E151" s="162" t="s">
        <v>1</v>
      </c>
      <c r="F151" s="162" t="s">
        <v>2</v>
      </c>
      <c r="G151" s="42"/>
      <c r="H151" s="42" t="s">
        <v>913</v>
      </c>
    </row>
    <row r="152" spans="1:8" ht="30" x14ac:dyDescent="0.25">
      <c r="A152" s="162">
        <v>7</v>
      </c>
      <c r="B152" s="162" t="s">
        <v>207</v>
      </c>
      <c r="C152" s="162" t="s">
        <v>55</v>
      </c>
      <c r="D152" s="162" t="s">
        <v>56</v>
      </c>
      <c r="E152" s="162" t="s">
        <v>11</v>
      </c>
      <c r="F152" s="162" t="s">
        <v>10</v>
      </c>
      <c r="G152" s="42"/>
      <c r="H152" s="42" t="s">
        <v>928</v>
      </c>
    </row>
    <row r="153" spans="1:8" ht="30" x14ac:dyDescent="0.25">
      <c r="A153" s="162">
        <v>8</v>
      </c>
      <c r="B153" s="162" t="s">
        <v>208</v>
      </c>
      <c r="C153" s="162" t="s">
        <v>55</v>
      </c>
      <c r="D153" s="162" t="s">
        <v>56</v>
      </c>
      <c r="E153" s="162" t="s">
        <v>1</v>
      </c>
      <c r="F153" s="162" t="s">
        <v>10</v>
      </c>
      <c r="G153" s="42"/>
      <c r="H153" s="42" t="s">
        <v>913</v>
      </c>
    </row>
    <row r="154" spans="1:8" x14ac:dyDescent="0.25">
      <c r="A154" s="162">
        <v>8</v>
      </c>
      <c r="B154" s="162" t="s">
        <v>209</v>
      </c>
      <c r="C154" s="162" t="s">
        <v>36</v>
      </c>
      <c r="D154" s="162" t="s">
        <v>38</v>
      </c>
      <c r="E154" s="162" t="s">
        <v>14</v>
      </c>
      <c r="F154" s="162" t="s">
        <v>7</v>
      </c>
      <c r="G154" s="42"/>
      <c r="H154" s="42" t="s">
        <v>929</v>
      </c>
    </row>
    <row r="155" spans="1:8" ht="30" x14ac:dyDescent="0.25">
      <c r="A155" s="162">
        <v>8</v>
      </c>
      <c r="B155" s="181" t="s">
        <v>211</v>
      </c>
      <c r="C155" s="162"/>
      <c r="D155" s="162" t="s">
        <v>51</v>
      </c>
      <c r="E155" s="162" t="s">
        <v>812</v>
      </c>
      <c r="F155" s="162" t="s">
        <v>817</v>
      </c>
      <c r="G155" s="163" t="s">
        <v>760</v>
      </c>
      <c r="H155" s="42"/>
    </row>
    <row r="156" spans="1:8" ht="75" x14ac:dyDescent="0.25">
      <c r="A156" s="162">
        <v>8</v>
      </c>
      <c r="B156" s="162" t="s">
        <v>212</v>
      </c>
      <c r="C156" s="162"/>
      <c r="D156" s="162" t="s">
        <v>51</v>
      </c>
      <c r="E156" s="162" t="s">
        <v>811</v>
      </c>
      <c r="F156" s="162"/>
      <c r="G156" s="163" t="s">
        <v>798</v>
      </c>
      <c r="H156" s="42"/>
    </row>
    <row r="157" spans="1:8" ht="90" x14ac:dyDescent="0.25">
      <c r="A157" s="162">
        <v>8</v>
      </c>
      <c r="B157" s="162" t="s">
        <v>213</v>
      </c>
      <c r="C157" s="162" t="s">
        <v>214</v>
      </c>
      <c r="D157" s="162" t="s">
        <v>37</v>
      </c>
      <c r="E157" s="162" t="s">
        <v>12</v>
      </c>
      <c r="F157" s="162"/>
      <c r="G157" s="42"/>
      <c r="H157" s="42" t="s">
        <v>908</v>
      </c>
    </row>
    <row r="158" spans="1:8" ht="75" x14ac:dyDescent="0.25">
      <c r="A158" s="162">
        <v>8</v>
      </c>
      <c r="B158" s="162" t="s">
        <v>215</v>
      </c>
      <c r="C158" s="162" t="s">
        <v>55</v>
      </c>
      <c r="D158" s="162" t="s">
        <v>56</v>
      </c>
      <c r="E158" s="162" t="s">
        <v>11</v>
      </c>
      <c r="F158" s="162" t="s">
        <v>10</v>
      </c>
      <c r="G158" s="42"/>
      <c r="H158" s="42" t="s">
        <v>914</v>
      </c>
    </row>
    <row r="159" spans="1:8" ht="30" x14ac:dyDescent="0.25">
      <c r="A159" s="162">
        <v>8</v>
      </c>
      <c r="B159" s="162" t="s">
        <v>216</v>
      </c>
      <c r="C159" s="162" t="s">
        <v>55</v>
      </c>
      <c r="D159" s="162" t="s">
        <v>56</v>
      </c>
      <c r="E159" s="162" t="s">
        <v>4</v>
      </c>
      <c r="F159" s="162"/>
      <c r="G159" s="42"/>
      <c r="H159" s="42" t="s">
        <v>928</v>
      </c>
    </row>
    <row r="160" spans="1:8" ht="60" x14ac:dyDescent="0.25">
      <c r="A160" s="162">
        <v>8</v>
      </c>
      <c r="B160" s="162" t="s">
        <v>217</v>
      </c>
      <c r="C160" s="162" t="s">
        <v>23</v>
      </c>
      <c r="D160" s="162" t="s">
        <v>24</v>
      </c>
      <c r="E160" s="162" t="s">
        <v>96</v>
      </c>
      <c r="F160" s="162" t="s">
        <v>33</v>
      </c>
      <c r="G160" s="42"/>
      <c r="H160" s="42" t="s">
        <v>911</v>
      </c>
    </row>
    <row r="161" spans="1:8" ht="30" x14ac:dyDescent="0.25">
      <c r="A161" s="162">
        <v>8</v>
      </c>
      <c r="B161" s="162" t="s">
        <v>218</v>
      </c>
      <c r="C161" s="162" t="s">
        <v>49</v>
      </c>
      <c r="D161" s="162" t="s">
        <v>37</v>
      </c>
      <c r="E161" s="162" t="s">
        <v>774</v>
      </c>
      <c r="F161" s="162"/>
      <c r="G161" s="42"/>
      <c r="H161" s="42" t="s">
        <v>919</v>
      </c>
    </row>
    <row r="162" spans="1:8" ht="30" x14ac:dyDescent="0.25">
      <c r="A162" s="162">
        <v>8</v>
      </c>
      <c r="B162" s="162" t="s">
        <v>219</v>
      </c>
      <c r="C162" s="162"/>
      <c r="D162" s="162" t="s">
        <v>105</v>
      </c>
      <c r="E162" s="162"/>
      <c r="F162" s="162" t="s">
        <v>818</v>
      </c>
      <c r="G162" s="163" t="s">
        <v>760</v>
      </c>
      <c r="H162" s="42"/>
    </row>
    <row r="163" spans="1:8" ht="60" x14ac:dyDescent="0.25">
      <c r="A163" s="162">
        <v>8</v>
      </c>
      <c r="B163" s="162" t="s">
        <v>221</v>
      </c>
      <c r="C163" s="162" t="s">
        <v>55</v>
      </c>
      <c r="D163" s="162" t="s">
        <v>56</v>
      </c>
      <c r="E163" s="162" t="s">
        <v>57</v>
      </c>
      <c r="F163" s="162" t="s">
        <v>5</v>
      </c>
      <c r="G163" s="42"/>
      <c r="H163" s="42" t="s">
        <v>928</v>
      </c>
    </row>
    <row r="164" spans="1:8" ht="30" x14ac:dyDescent="0.25">
      <c r="A164" s="162">
        <v>8</v>
      </c>
      <c r="B164" s="162" t="s">
        <v>222</v>
      </c>
      <c r="C164" s="162" t="s">
        <v>55</v>
      </c>
      <c r="D164" s="162" t="s">
        <v>56</v>
      </c>
      <c r="E164" s="162" t="s">
        <v>11</v>
      </c>
      <c r="F164" s="162" t="s">
        <v>10</v>
      </c>
      <c r="G164" s="42"/>
      <c r="H164" s="42" t="s">
        <v>928</v>
      </c>
    </row>
    <row r="165" spans="1:8" ht="45" x14ac:dyDescent="0.25">
      <c r="A165" s="162">
        <v>8</v>
      </c>
      <c r="B165" s="162" t="s">
        <v>223</v>
      </c>
      <c r="C165" s="162" t="s">
        <v>55</v>
      </c>
      <c r="D165" s="162" t="s">
        <v>56</v>
      </c>
      <c r="E165" s="162" t="s">
        <v>224</v>
      </c>
      <c r="F165" s="162" t="s">
        <v>10</v>
      </c>
      <c r="G165" s="42"/>
      <c r="H165" s="42" t="s">
        <v>914</v>
      </c>
    </row>
    <row r="166" spans="1:8" ht="30" x14ac:dyDescent="0.25">
      <c r="A166" s="162">
        <v>8</v>
      </c>
      <c r="B166" s="162" t="s">
        <v>225</v>
      </c>
      <c r="C166" s="162" t="s">
        <v>85</v>
      </c>
      <c r="D166" s="162" t="s">
        <v>56</v>
      </c>
      <c r="E166" s="162" t="s">
        <v>224</v>
      </c>
      <c r="F166" s="162" t="s">
        <v>5</v>
      </c>
      <c r="G166" s="42"/>
      <c r="H166" s="42" t="s">
        <v>913</v>
      </c>
    </row>
    <row r="167" spans="1:8" ht="30" x14ac:dyDescent="0.25">
      <c r="A167" s="162">
        <v>8</v>
      </c>
      <c r="B167" s="162" t="s">
        <v>226</v>
      </c>
      <c r="C167" s="162"/>
      <c r="D167" s="162" t="s">
        <v>139</v>
      </c>
      <c r="E167" s="162" t="s">
        <v>815</v>
      </c>
      <c r="F167" s="162"/>
      <c r="G167" s="163" t="s">
        <v>761</v>
      </c>
      <c r="H167" s="42"/>
    </row>
    <row r="168" spans="1:8" ht="30" x14ac:dyDescent="0.25">
      <c r="A168" s="162">
        <v>8</v>
      </c>
      <c r="B168" s="162" t="s">
        <v>227</v>
      </c>
      <c r="C168" s="162" t="s">
        <v>55</v>
      </c>
      <c r="D168" s="162" t="s">
        <v>56</v>
      </c>
      <c r="E168" s="162" t="s">
        <v>11</v>
      </c>
      <c r="F168" s="162" t="s">
        <v>5</v>
      </c>
      <c r="G168" s="42"/>
      <c r="H168" s="42" t="s">
        <v>915</v>
      </c>
    </row>
    <row r="169" spans="1:8" ht="66" x14ac:dyDescent="0.25">
      <c r="A169" s="162">
        <v>8</v>
      </c>
      <c r="B169" s="162" t="s">
        <v>228</v>
      </c>
      <c r="C169" s="162" t="s">
        <v>23</v>
      </c>
      <c r="D169" s="162" t="s">
        <v>24</v>
      </c>
      <c r="E169" s="162" t="s">
        <v>768</v>
      </c>
      <c r="F169" s="162" t="s">
        <v>33</v>
      </c>
      <c r="G169" s="42"/>
      <c r="H169" s="42" t="s">
        <v>906</v>
      </c>
    </row>
    <row r="170" spans="1:8" ht="45" x14ac:dyDescent="0.25">
      <c r="A170" s="162">
        <v>8</v>
      </c>
      <c r="B170" s="162" t="s">
        <v>230</v>
      </c>
      <c r="C170" s="162" t="s">
        <v>55</v>
      </c>
      <c r="D170" s="162" t="s">
        <v>56</v>
      </c>
      <c r="E170" s="162" t="s">
        <v>11</v>
      </c>
      <c r="F170" s="162" t="s">
        <v>10</v>
      </c>
      <c r="G170" s="42"/>
      <c r="H170" s="42" t="s">
        <v>915</v>
      </c>
    </row>
    <row r="171" spans="1:8" ht="80.25" customHeight="1" x14ac:dyDescent="0.25">
      <c r="A171" s="162">
        <v>8</v>
      </c>
      <c r="B171" s="182" t="s">
        <v>231</v>
      </c>
      <c r="C171" s="182" t="s">
        <v>36</v>
      </c>
      <c r="D171" s="182" t="s">
        <v>38</v>
      </c>
      <c r="E171" s="182" t="s">
        <v>3</v>
      </c>
      <c r="F171" s="162" t="s">
        <v>15</v>
      </c>
      <c r="G171" s="42"/>
      <c r="H171" s="42" t="s">
        <v>911</v>
      </c>
    </row>
    <row r="172" spans="1:8" x14ac:dyDescent="0.25">
      <c r="A172" s="162">
        <v>8</v>
      </c>
      <c r="B172" s="182"/>
      <c r="C172" s="182"/>
      <c r="D172" s="182"/>
      <c r="E172" s="182"/>
      <c r="F172" s="162" t="s">
        <v>6</v>
      </c>
      <c r="G172" s="42"/>
      <c r="H172" s="42"/>
    </row>
    <row r="173" spans="1:8" ht="90" x14ac:dyDescent="0.25">
      <c r="A173" s="162">
        <v>8</v>
      </c>
      <c r="B173" s="162" t="s">
        <v>232</v>
      </c>
      <c r="C173" s="162" t="s">
        <v>28</v>
      </c>
      <c r="D173" s="162" t="s">
        <v>29</v>
      </c>
      <c r="E173" s="162" t="s">
        <v>229</v>
      </c>
      <c r="F173" s="162" t="s">
        <v>31</v>
      </c>
      <c r="G173" s="42"/>
      <c r="H173" s="42" t="s">
        <v>923</v>
      </c>
    </row>
    <row r="174" spans="1:8" ht="45" x14ac:dyDescent="0.25">
      <c r="A174" s="162">
        <v>8</v>
      </c>
      <c r="B174" s="162" t="s">
        <v>233</v>
      </c>
      <c r="C174" s="162" t="s">
        <v>55</v>
      </c>
      <c r="D174" s="162" t="s">
        <v>56</v>
      </c>
      <c r="E174" s="162" t="s">
        <v>9</v>
      </c>
      <c r="F174" s="162" t="s">
        <v>10</v>
      </c>
      <c r="G174" s="42"/>
      <c r="H174" s="42" t="s">
        <v>913</v>
      </c>
    </row>
    <row r="175" spans="1:8" ht="75.75" customHeight="1" x14ac:dyDescent="0.25">
      <c r="A175" s="162">
        <v>8</v>
      </c>
      <c r="B175" s="162" t="s">
        <v>234</v>
      </c>
      <c r="C175" s="162" t="s">
        <v>55</v>
      </c>
      <c r="D175" s="162" t="s">
        <v>56</v>
      </c>
      <c r="E175" s="162" t="s">
        <v>57</v>
      </c>
      <c r="F175" s="162" t="s">
        <v>5</v>
      </c>
      <c r="G175" s="42"/>
      <c r="H175" s="42" t="s">
        <v>914</v>
      </c>
    </row>
    <row r="176" spans="1:8" ht="33" x14ac:dyDescent="0.25">
      <c r="A176" s="162">
        <v>8</v>
      </c>
      <c r="B176" s="162" t="s">
        <v>235</v>
      </c>
      <c r="C176" s="162" t="s">
        <v>55</v>
      </c>
      <c r="D176" s="162" t="s">
        <v>56</v>
      </c>
      <c r="E176" s="162" t="s">
        <v>57</v>
      </c>
      <c r="F176" s="162" t="s">
        <v>5</v>
      </c>
      <c r="G176" s="42"/>
      <c r="H176" s="42" t="s">
        <v>928</v>
      </c>
    </row>
    <row r="177" spans="1:8" ht="30" x14ac:dyDescent="0.25">
      <c r="A177" s="162">
        <v>8</v>
      </c>
      <c r="B177" s="162" t="s">
        <v>236</v>
      </c>
      <c r="C177" s="162" t="s">
        <v>55</v>
      </c>
      <c r="D177" s="162" t="s">
        <v>56</v>
      </c>
      <c r="E177" s="162" t="s">
        <v>1</v>
      </c>
      <c r="F177" s="162" t="s">
        <v>10</v>
      </c>
      <c r="G177" s="42"/>
      <c r="H177" s="42" t="s">
        <v>913</v>
      </c>
    </row>
    <row r="178" spans="1:8" ht="30" x14ac:dyDescent="0.25">
      <c r="A178" s="162">
        <v>8</v>
      </c>
      <c r="B178" s="162" t="s">
        <v>237</v>
      </c>
      <c r="C178" s="162" t="s">
        <v>40</v>
      </c>
      <c r="D178" s="162" t="s">
        <v>41</v>
      </c>
      <c r="E178" s="162" t="s">
        <v>42</v>
      </c>
      <c r="F178" s="162" t="s">
        <v>238</v>
      </c>
      <c r="G178" s="42"/>
      <c r="H178" s="42" t="s">
        <v>930</v>
      </c>
    </row>
    <row r="179" spans="1:8" ht="45" x14ac:dyDescent="0.25">
      <c r="A179" s="162">
        <v>8</v>
      </c>
      <c r="B179" s="162" t="s">
        <v>802</v>
      </c>
      <c r="C179" s="162" t="s">
        <v>55</v>
      </c>
      <c r="D179" s="162" t="s">
        <v>56</v>
      </c>
      <c r="E179" s="162" t="s">
        <v>4</v>
      </c>
      <c r="F179" s="162"/>
      <c r="G179" s="42"/>
      <c r="H179" s="42" t="s">
        <v>913</v>
      </c>
    </row>
    <row r="180" spans="1:8" ht="32.25" customHeight="1" x14ac:dyDescent="0.25">
      <c r="A180" s="162">
        <v>8</v>
      </c>
      <c r="B180" s="182" t="s">
        <v>239</v>
      </c>
      <c r="C180" s="182" t="s">
        <v>89</v>
      </c>
      <c r="D180" s="182" t="s">
        <v>90</v>
      </c>
      <c r="E180" s="162" t="s">
        <v>240</v>
      </c>
      <c r="F180" s="182"/>
      <c r="G180" s="42"/>
      <c r="H180" s="42" t="s">
        <v>908</v>
      </c>
    </row>
    <row r="181" spans="1:8" ht="30" x14ac:dyDescent="0.25">
      <c r="A181" s="162">
        <v>8</v>
      </c>
      <c r="B181" s="182"/>
      <c r="C181" s="182"/>
      <c r="D181" s="182"/>
      <c r="E181" s="162" t="s">
        <v>775</v>
      </c>
      <c r="F181" s="182"/>
      <c r="G181" s="42"/>
      <c r="H181" s="42"/>
    </row>
    <row r="182" spans="1:8" ht="30" x14ac:dyDescent="0.25">
      <c r="A182" s="162">
        <v>8</v>
      </c>
      <c r="B182" s="162" t="s">
        <v>241</v>
      </c>
      <c r="C182" s="162" t="s">
        <v>55</v>
      </c>
      <c r="D182" s="162" t="s">
        <v>56</v>
      </c>
      <c r="E182" s="162" t="s">
        <v>242</v>
      </c>
      <c r="F182" s="162" t="s">
        <v>10</v>
      </c>
      <c r="G182" s="42"/>
      <c r="H182" s="42" t="s">
        <v>913</v>
      </c>
    </row>
    <row r="183" spans="1:8" ht="60" x14ac:dyDescent="0.25">
      <c r="A183" s="162">
        <v>8</v>
      </c>
      <c r="B183" s="162" t="s">
        <v>243</v>
      </c>
      <c r="C183" s="162" t="s">
        <v>28</v>
      </c>
      <c r="D183" s="162" t="s">
        <v>29</v>
      </c>
      <c r="E183" s="162" t="s">
        <v>30</v>
      </c>
      <c r="F183" s="162" t="s">
        <v>73</v>
      </c>
      <c r="G183" s="186" t="s">
        <v>757</v>
      </c>
      <c r="H183" s="42" t="s">
        <v>918</v>
      </c>
    </row>
    <row r="184" spans="1:8" ht="45" x14ac:dyDescent="0.25">
      <c r="A184" s="162">
        <v>8</v>
      </c>
      <c r="B184" s="162" t="s">
        <v>244</v>
      </c>
      <c r="C184" s="162" t="s">
        <v>23</v>
      </c>
      <c r="D184" s="162" t="s">
        <v>24</v>
      </c>
      <c r="E184" s="162" t="s">
        <v>96</v>
      </c>
      <c r="F184" s="162" t="s">
        <v>33</v>
      </c>
      <c r="G184" s="42"/>
      <c r="H184" s="42" t="s">
        <v>911</v>
      </c>
    </row>
    <row r="185" spans="1:8" ht="75" x14ac:dyDescent="0.25">
      <c r="A185" s="162">
        <v>9</v>
      </c>
      <c r="B185" s="162" t="s">
        <v>245</v>
      </c>
      <c r="C185" s="162" t="s">
        <v>36</v>
      </c>
      <c r="D185" s="162" t="s">
        <v>38</v>
      </c>
      <c r="E185" s="162" t="s">
        <v>3</v>
      </c>
      <c r="F185" s="162" t="s">
        <v>8</v>
      </c>
      <c r="G185" s="42"/>
      <c r="H185" s="42" t="s">
        <v>906</v>
      </c>
    </row>
    <row r="186" spans="1:8" ht="105" x14ac:dyDescent="0.25">
      <c r="A186" s="162">
        <v>9</v>
      </c>
      <c r="B186" s="162" t="s">
        <v>246</v>
      </c>
      <c r="C186" s="162" t="s">
        <v>23</v>
      </c>
      <c r="D186" s="162" t="s">
        <v>24</v>
      </c>
      <c r="E186" s="162" t="s">
        <v>25</v>
      </c>
      <c r="F186" s="162" t="s">
        <v>26</v>
      </c>
      <c r="G186" s="42"/>
      <c r="H186" s="42" t="s">
        <v>906</v>
      </c>
    </row>
    <row r="187" spans="1:8" ht="45" x14ac:dyDescent="0.25">
      <c r="A187" s="162">
        <v>9</v>
      </c>
      <c r="B187" s="162" t="s">
        <v>247</v>
      </c>
      <c r="C187" s="162" t="s">
        <v>55</v>
      </c>
      <c r="D187" s="162" t="s">
        <v>56</v>
      </c>
      <c r="E187" s="162" t="s">
        <v>1</v>
      </c>
      <c r="F187" s="162" t="s">
        <v>2</v>
      </c>
      <c r="G187" s="162" t="s">
        <v>783</v>
      </c>
      <c r="H187" s="162" t="s">
        <v>924</v>
      </c>
    </row>
    <row r="188" spans="1:8" ht="45" x14ac:dyDescent="0.25">
      <c r="A188" s="162">
        <v>9</v>
      </c>
      <c r="B188" s="162" t="s">
        <v>248</v>
      </c>
      <c r="C188" s="162" t="s">
        <v>55</v>
      </c>
      <c r="D188" s="162" t="s">
        <v>56</v>
      </c>
      <c r="E188" s="162" t="s">
        <v>9</v>
      </c>
      <c r="F188" s="162" t="s">
        <v>5</v>
      </c>
      <c r="G188" s="42"/>
      <c r="H188" s="42" t="s">
        <v>914</v>
      </c>
    </row>
    <row r="189" spans="1:8" ht="30" x14ac:dyDescent="0.25">
      <c r="A189" s="162">
        <v>9</v>
      </c>
      <c r="B189" s="162" t="s">
        <v>249</v>
      </c>
      <c r="C189" s="162" t="s">
        <v>36</v>
      </c>
      <c r="D189" s="162" t="s">
        <v>37</v>
      </c>
      <c r="E189" s="162" t="s">
        <v>12</v>
      </c>
      <c r="F189" s="162"/>
      <c r="G189" s="42"/>
      <c r="H189" s="42" t="s">
        <v>909</v>
      </c>
    </row>
    <row r="190" spans="1:8" ht="48" x14ac:dyDescent="0.25">
      <c r="A190" s="162">
        <v>9</v>
      </c>
      <c r="B190" s="162" t="s">
        <v>250</v>
      </c>
      <c r="C190" s="162" t="s">
        <v>28</v>
      </c>
      <c r="D190" s="162" t="s">
        <v>29</v>
      </c>
      <c r="E190" s="162" t="s">
        <v>30</v>
      </c>
      <c r="F190" s="162" t="s">
        <v>31</v>
      </c>
      <c r="G190" s="42"/>
      <c r="H190" s="42" t="s">
        <v>907</v>
      </c>
    </row>
    <row r="191" spans="1:8" ht="60" x14ac:dyDescent="0.25">
      <c r="A191" s="162">
        <v>9</v>
      </c>
      <c r="B191" s="162" t="s">
        <v>251</v>
      </c>
      <c r="C191" s="162" t="s">
        <v>23</v>
      </c>
      <c r="D191" s="162" t="s">
        <v>24</v>
      </c>
      <c r="E191" s="162" t="s">
        <v>96</v>
      </c>
      <c r="F191" s="162" t="s">
        <v>33</v>
      </c>
      <c r="G191" s="42"/>
      <c r="H191" s="42" t="s">
        <v>906</v>
      </c>
    </row>
    <row r="192" spans="1:8" ht="30" x14ac:dyDescent="0.25">
      <c r="A192" s="162">
        <v>9</v>
      </c>
      <c r="B192" s="162" t="s">
        <v>252</v>
      </c>
      <c r="C192" s="162" t="s">
        <v>55</v>
      </c>
      <c r="D192" s="162" t="s">
        <v>56</v>
      </c>
      <c r="E192" s="162" t="s">
        <v>4</v>
      </c>
      <c r="F192" s="162"/>
      <c r="G192" s="42"/>
      <c r="H192" s="42" t="s">
        <v>913</v>
      </c>
    </row>
    <row r="193" spans="1:8" ht="33" x14ac:dyDescent="0.25">
      <c r="A193" s="162">
        <v>9</v>
      </c>
      <c r="B193" s="162" t="s">
        <v>253</v>
      </c>
      <c r="C193" s="162" t="s">
        <v>85</v>
      </c>
      <c r="D193" s="162" t="s">
        <v>56</v>
      </c>
      <c r="E193" s="162" t="s">
        <v>9</v>
      </c>
      <c r="F193" s="162" t="s">
        <v>10</v>
      </c>
      <c r="G193" s="42"/>
      <c r="H193" s="42" t="s">
        <v>915</v>
      </c>
    </row>
    <row r="194" spans="1:8" ht="30" x14ac:dyDescent="0.25">
      <c r="A194" s="162">
        <v>9</v>
      </c>
      <c r="B194" s="162" t="s">
        <v>254</v>
      </c>
      <c r="C194" s="162"/>
      <c r="D194" s="162" t="s">
        <v>51</v>
      </c>
      <c r="E194" s="162" t="s">
        <v>811</v>
      </c>
      <c r="F194" s="162"/>
      <c r="G194" s="163" t="s">
        <v>761</v>
      </c>
      <c r="H194" s="42"/>
    </row>
    <row r="195" spans="1:8" ht="45" x14ac:dyDescent="0.25">
      <c r="A195" s="162">
        <v>9</v>
      </c>
      <c r="B195" s="162" t="s">
        <v>255</v>
      </c>
      <c r="C195" s="162" t="s">
        <v>36</v>
      </c>
      <c r="D195" s="162" t="s">
        <v>763</v>
      </c>
      <c r="E195" s="162"/>
      <c r="F195" s="162" t="s">
        <v>8</v>
      </c>
      <c r="G195" s="163" t="s">
        <v>794</v>
      </c>
      <c r="H195" s="42" t="s">
        <v>922</v>
      </c>
    </row>
    <row r="196" spans="1:8" ht="45" x14ac:dyDescent="0.25">
      <c r="A196" s="162">
        <v>9</v>
      </c>
      <c r="B196" s="162" t="s">
        <v>256</v>
      </c>
      <c r="C196" s="162" t="s">
        <v>64</v>
      </c>
      <c r="D196" s="162" t="s">
        <v>65</v>
      </c>
      <c r="E196" s="162"/>
      <c r="F196" s="162" t="s">
        <v>66</v>
      </c>
      <c r="G196" s="163" t="s">
        <v>899</v>
      </c>
      <c r="H196" s="42" t="s">
        <v>932</v>
      </c>
    </row>
    <row r="197" spans="1:8" ht="90" x14ac:dyDescent="0.25">
      <c r="A197" s="162">
        <v>9</v>
      </c>
      <c r="B197" s="162" t="s">
        <v>257</v>
      </c>
      <c r="C197" s="162" t="s">
        <v>258</v>
      </c>
      <c r="D197" s="162" t="s">
        <v>24</v>
      </c>
      <c r="E197" s="162" t="s">
        <v>96</v>
      </c>
      <c r="F197" s="162" t="s">
        <v>26</v>
      </c>
      <c r="G197" s="162" t="s">
        <v>785</v>
      </c>
      <c r="H197" s="162" t="s">
        <v>916</v>
      </c>
    </row>
    <row r="198" spans="1:8" ht="30" x14ac:dyDescent="0.25">
      <c r="A198" s="162">
        <v>9</v>
      </c>
      <c r="B198" s="162" t="s">
        <v>259</v>
      </c>
      <c r="C198" s="162"/>
      <c r="D198" s="162" t="s">
        <v>51</v>
      </c>
      <c r="E198" s="162" t="s">
        <v>811</v>
      </c>
      <c r="F198" s="162"/>
      <c r="G198" s="163" t="s">
        <v>760</v>
      </c>
      <c r="H198" s="42"/>
    </row>
    <row r="199" spans="1:8" ht="30" x14ac:dyDescent="0.25">
      <c r="A199" s="162">
        <v>9</v>
      </c>
      <c r="B199" s="162" t="s">
        <v>260</v>
      </c>
      <c r="C199" s="162" t="s">
        <v>55</v>
      </c>
      <c r="D199" s="162" t="s">
        <v>56</v>
      </c>
      <c r="E199" s="162" t="s">
        <v>57</v>
      </c>
      <c r="F199" s="162" t="s">
        <v>10</v>
      </c>
      <c r="G199" s="42"/>
      <c r="H199" s="42" t="s">
        <v>913</v>
      </c>
    </row>
    <row r="200" spans="1:8" ht="30" x14ac:dyDescent="0.25">
      <c r="A200" s="162">
        <v>9</v>
      </c>
      <c r="B200" s="181" t="s">
        <v>261</v>
      </c>
      <c r="C200" s="162" t="s">
        <v>89</v>
      </c>
      <c r="D200" s="162" t="s">
        <v>90</v>
      </c>
      <c r="E200" s="162" t="s">
        <v>774</v>
      </c>
      <c r="F200" s="162"/>
      <c r="G200" s="42"/>
      <c r="H200" s="42" t="s">
        <v>927</v>
      </c>
    </row>
    <row r="201" spans="1:8" ht="45" x14ac:dyDescent="0.25">
      <c r="A201" s="162">
        <v>9</v>
      </c>
      <c r="B201" s="162" t="s">
        <v>262</v>
      </c>
      <c r="C201" s="162" t="s">
        <v>36</v>
      </c>
      <c r="D201" s="162" t="s">
        <v>37</v>
      </c>
      <c r="E201" s="162" t="s">
        <v>770</v>
      </c>
      <c r="F201" s="162"/>
      <c r="G201" s="42"/>
      <c r="H201" s="42" t="s">
        <v>908</v>
      </c>
    </row>
    <row r="202" spans="1:8" ht="45" x14ac:dyDescent="0.25">
      <c r="A202" s="162">
        <v>9</v>
      </c>
      <c r="B202" s="162" t="s">
        <v>263</v>
      </c>
      <c r="C202" s="162" t="s">
        <v>36</v>
      </c>
      <c r="D202" s="162" t="s">
        <v>37</v>
      </c>
      <c r="E202" s="162" t="s">
        <v>770</v>
      </c>
      <c r="F202" s="162"/>
      <c r="G202" s="42"/>
      <c r="H202" s="42" t="s">
        <v>908</v>
      </c>
    </row>
    <row r="203" spans="1:8" ht="60" x14ac:dyDescent="0.25">
      <c r="A203" s="162">
        <v>9</v>
      </c>
      <c r="B203" s="162" t="s">
        <v>264</v>
      </c>
      <c r="C203" s="162" t="s">
        <v>49</v>
      </c>
      <c r="D203" s="162" t="s">
        <v>38</v>
      </c>
      <c r="E203" s="162" t="s">
        <v>3</v>
      </c>
      <c r="F203" s="162" t="s">
        <v>8</v>
      </c>
      <c r="G203" s="42"/>
      <c r="H203" s="42" t="s">
        <v>911</v>
      </c>
    </row>
    <row r="204" spans="1:8" ht="30" x14ac:dyDescent="0.25">
      <c r="A204" s="162">
        <v>9</v>
      </c>
      <c r="B204" s="162" t="s">
        <v>266</v>
      </c>
      <c r="C204" s="162"/>
      <c r="D204" s="162" t="s">
        <v>51</v>
      </c>
      <c r="E204" s="162" t="s">
        <v>811</v>
      </c>
      <c r="F204" s="162"/>
      <c r="G204" s="163" t="s">
        <v>760</v>
      </c>
      <c r="H204" s="42"/>
    </row>
    <row r="205" spans="1:8" ht="60" x14ac:dyDescent="0.25">
      <c r="A205" s="162">
        <v>9</v>
      </c>
      <c r="B205" s="162" t="s">
        <v>267</v>
      </c>
      <c r="C205" s="162" t="s">
        <v>55</v>
      </c>
      <c r="D205" s="162" t="s">
        <v>56</v>
      </c>
      <c r="E205" s="162" t="s">
        <v>57</v>
      </c>
      <c r="F205" s="162" t="s">
        <v>5</v>
      </c>
      <c r="G205" s="42"/>
      <c r="H205" s="42" t="s">
        <v>928</v>
      </c>
    </row>
    <row r="206" spans="1:8" ht="78.75" x14ac:dyDescent="0.25">
      <c r="A206" s="162">
        <v>9</v>
      </c>
      <c r="B206" s="180" t="s">
        <v>828</v>
      </c>
      <c r="C206" s="162" t="s">
        <v>49</v>
      </c>
      <c r="D206" s="162" t="s">
        <v>37</v>
      </c>
      <c r="E206" s="162" t="s">
        <v>829</v>
      </c>
      <c r="F206" s="162"/>
      <c r="G206" s="42"/>
      <c r="H206" s="42" t="s">
        <v>908</v>
      </c>
    </row>
    <row r="207" spans="1:8" ht="75" x14ac:dyDescent="0.25">
      <c r="A207" s="162">
        <v>9</v>
      </c>
      <c r="B207" s="187" t="s">
        <v>422</v>
      </c>
      <c r="C207" s="162"/>
      <c r="D207" s="162" t="s">
        <v>51</v>
      </c>
      <c r="E207" s="162" t="s">
        <v>811</v>
      </c>
      <c r="F207" s="162"/>
      <c r="G207" s="163" t="s">
        <v>798</v>
      </c>
      <c r="H207" s="42"/>
    </row>
    <row r="208" spans="1:8" ht="45" x14ac:dyDescent="0.25">
      <c r="A208" s="162">
        <v>10</v>
      </c>
      <c r="B208" s="162" t="s">
        <v>268</v>
      </c>
      <c r="C208" s="162" t="s">
        <v>89</v>
      </c>
      <c r="D208" s="162" t="s">
        <v>90</v>
      </c>
      <c r="E208" s="162" t="s">
        <v>770</v>
      </c>
      <c r="F208" s="162"/>
      <c r="G208" s="42"/>
      <c r="H208" s="42" t="s">
        <v>908</v>
      </c>
    </row>
    <row r="209" spans="1:8" ht="30" x14ac:dyDescent="0.25">
      <c r="A209" s="162">
        <v>10</v>
      </c>
      <c r="B209" s="162" t="s">
        <v>269</v>
      </c>
      <c r="C209" s="162" t="s">
        <v>55</v>
      </c>
      <c r="D209" s="162" t="s">
        <v>56</v>
      </c>
      <c r="E209" s="162" t="s">
        <v>1</v>
      </c>
      <c r="F209" s="162" t="s">
        <v>10</v>
      </c>
      <c r="G209" s="42"/>
      <c r="H209" s="42" t="s">
        <v>913</v>
      </c>
    </row>
    <row r="210" spans="1:8" ht="60" x14ac:dyDescent="0.25">
      <c r="A210" s="162">
        <v>10</v>
      </c>
      <c r="B210" s="162" t="s">
        <v>270</v>
      </c>
      <c r="C210" s="162" t="s">
        <v>55</v>
      </c>
      <c r="D210" s="162" t="s">
        <v>56</v>
      </c>
      <c r="E210" s="162" t="s">
        <v>11</v>
      </c>
      <c r="F210" s="162" t="s">
        <v>5</v>
      </c>
      <c r="G210" s="42"/>
      <c r="H210" s="42" t="s">
        <v>928</v>
      </c>
    </row>
    <row r="211" spans="1:8" ht="134.25" customHeight="1" x14ac:dyDescent="0.25">
      <c r="A211" s="162">
        <v>10</v>
      </c>
      <c r="B211" s="162" t="s">
        <v>271</v>
      </c>
      <c r="C211" s="162" t="s">
        <v>55</v>
      </c>
      <c r="D211" s="162" t="s">
        <v>56</v>
      </c>
      <c r="E211" s="162" t="s">
        <v>57</v>
      </c>
      <c r="F211" s="162" t="s">
        <v>5</v>
      </c>
      <c r="G211" s="42"/>
      <c r="H211" s="42" t="s">
        <v>914</v>
      </c>
    </row>
    <row r="212" spans="1:8" ht="45" x14ac:dyDescent="0.25">
      <c r="A212" s="162">
        <v>10</v>
      </c>
      <c r="B212" s="162" t="s">
        <v>272</v>
      </c>
      <c r="C212" s="162" t="s">
        <v>55</v>
      </c>
      <c r="D212" s="162" t="s">
        <v>56</v>
      </c>
      <c r="E212" s="162" t="s">
        <v>1</v>
      </c>
      <c r="F212" s="162" t="s">
        <v>2</v>
      </c>
      <c r="G212" s="42"/>
      <c r="H212" s="42" t="s">
        <v>913</v>
      </c>
    </row>
    <row r="213" spans="1:8" ht="105" x14ac:dyDescent="0.25">
      <c r="A213" s="162">
        <v>10</v>
      </c>
      <c r="B213" s="162" t="s">
        <v>273</v>
      </c>
      <c r="C213" s="162" t="s">
        <v>89</v>
      </c>
      <c r="D213" s="162" t="s">
        <v>90</v>
      </c>
      <c r="E213" s="162" t="s">
        <v>770</v>
      </c>
      <c r="F213" s="162"/>
      <c r="G213" s="42"/>
      <c r="H213" s="42" t="s">
        <v>908</v>
      </c>
    </row>
    <row r="214" spans="1:8" ht="60" x14ac:dyDescent="0.25">
      <c r="A214" s="162">
        <v>10</v>
      </c>
      <c r="B214" s="162" t="s">
        <v>274</v>
      </c>
      <c r="C214" s="162" t="s">
        <v>55</v>
      </c>
      <c r="D214" s="162" t="s">
        <v>56</v>
      </c>
      <c r="E214" s="162" t="s">
        <v>57</v>
      </c>
      <c r="F214" s="162" t="s">
        <v>5</v>
      </c>
      <c r="G214" s="42"/>
      <c r="H214" s="42" t="s">
        <v>914</v>
      </c>
    </row>
    <row r="215" spans="1:8" ht="45" x14ac:dyDescent="0.25">
      <c r="A215" s="162">
        <v>10</v>
      </c>
      <c r="B215" s="162" t="s">
        <v>275</v>
      </c>
      <c r="C215" s="162" t="s">
        <v>23</v>
      </c>
      <c r="D215" s="162" t="s">
        <v>24</v>
      </c>
      <c r="E215" s="162" t="s">
        <v>96</v>
      </c>
      <c r="F215" s="162" t="s">
        <v>26</v>
      </c>
      <c r="G215" s="42"/>
      <c r="H215" s="42" t="s">
        <v>906</v>
      </c>
    </row>
    <row r="216" spans="1:8" ht="45" x14ac:dyDescent="0.25">
      <c r="A216" s="162">
        <v>10</v>
      </c>
      <c r="B216" s="162" t="s">
        <v>276</v>
      </c>
      <c r="C216" s="162" t="s">
        <v>55</v>
      </c>
      <c r="D216" s="162" t="s">
        <v>56</v>
      </c>
      <c r="E216" s="162" t="s">
        <v>57</v>
      </c>
      <c r="F216" s="162" t="s">
        <v>10</v>
      </c>
      <c r="G216" s="42"/>
      <c r="H216" s="42" t="s">
        <v>913</v>
      </c>
    </row>
    <row r="217" spans="1:8" ht="30" x14ac:dyDescent="0.25">
      <c r="A217" s="162">
        <v>10</v>
      </c>
      <c r="B217" s="162" t="s">
        <v>277</v>
      </c>
      <c r="C217" s="162"/>
      <c r="D217" s="162" t="s">
        <v>51</v>
      </c>
      <c r="E217" s="162" t="s">
        <v>811</v>
      </c>
      <c r="F217" s="162"/>
      <c r="G217" s="163" t="s">
        <v>761</v>
      </c>
      <c r="H217" s="42"/>
    </row>
    <row r="218" spans="1:8" ht="30" x14ac:dyDescent="0.25">
      <c r="A218" s="162">
        <v>10</v>
      </c>
      <c r="B218" s="162" t="s">
        <v>278</v>
      </c>
      <c r="C218" s="162"/>
      <c r="D218" s="162" t="s">
        <v>51</v>
      </c>
      <c r="E218" s="162" t="s">
        <v>811</v>
      </c>
      <c r="F218" s="162"/>
      <c r="G218" s="163" t="s">
        <v>761</v>
      </c>
      <c r="H218" s="42"/>
    </row>
    <row r="219" spans="1:8" ht="30" x14ac:dyDescent="0.25">
      <c r="A219" s="162">
        <v>10</v>
      </c>
      <c r="B219" s="162" t="s">
        <v>279</v>
      </c>
      <c r="C219" s="162" t="s">
        <v>137</v>
      </c>
      <c r="D219" s="162" t="s">
        <v>56</v>
      </c>
      <c r="E219" s="162" t="s">
        <v>57</v>
      </c>
      <c r="F219" s="162" t="s">
        <v>5</v>
      </c>
      <c r="G219" s="42"/>
      <c r="H219" s="42" t="s">
        <v>914</v>
      </c>
    </row>
    <row r="220" spans="1:8" ht="30" x14ac:dyDescent="0.25">
      <c r="A220" s="162">
        <v>10</v>
      </c>
      <c r="B220" s="162" t="s">
        <v>280</v>
      </c>
      <c r="C220" s="162" t="s">
        <v>55</v>
      </c>
      <c r="D220" s="162" t="s">
        <v>56</v>
      </c>
      <c r="E220" s="162" t="s">
        <v>11</v>
      </c>
      <c r="F220" s="162" t="s">
        <v>10</v>
      </c>
      <c r="G220" s="42"/>
      <c r="H220" s="42" t="s">
        <v>933</v>
      </c>
    </row>
    <row r="221" spans="1:8" ht="63" x14ac:dyDescent="0.25">
      <c r="A221" s="162">
        <v>11</v>
      </c>
      <c r="B221" s="162" t="s">
        <v>281</v>
      </c>
      <c r="C221" s="162" t="s">
        <v>55</v>
      </c>
      <c r="D221" s="162" t="s">
        <v>56</v>
      </c>
      <c r="E221" s="162" t="s">
        <v>57</v>
      </c>
      <c r="F221" s="162" t="s">
        <v>5</v>
      </c>
      <c r="G221" s="42"/>
      <c r="H221" s="42" t="s">
        <v>914</v>
      </c>
    </row>
    <row r="222" spans="1:8" ht="45" x14ac:dyDescent="0.25">
      <c r="A222" s="162">
        <v>11</v>
      </c>
      <c r="B222" s="162" t="s">
        <v>730</v>
      </c>
      <c r="C222" s="162" t="s">
        <v>55</v>
      </c>
      <c r="D222" s="162" t="s">
        <v>56</v>
      </c>
      <c r="E222" s="162" t="s">
        <v>11</v>
      </c>
      <c r="F222" s="162" t="s">
        <v>5</v>
      </c>
      <c r="G222" s="42"/>
      <c r="H222" s="42" t="s">
        <v>915</v>
      </c>
    </row>
    <row r="223" spans="1:8" ht="45" x14ac:dyDescent="0.25">
      <c r="A223" s="162">
        <v>11</v>
      </c>
      <c r="B223" s="162" t="s">
        <v>282</v>
      </c>
      <c r="C223" s="162" t="s">
        <v>258</v>
      </c>
      <c r="D223" s="162" t="s">
        <v>24</v>
      </c>
      <c r="E223" s="162" t="s">
        <v>25</v>
      </c>
      <c r="F223" s="162" t="s">
        <v>33</v>
      </c>
      <c r="G223" s="42"/>
      <c r="H223" s="42" t="s">
        <v>906</v>
      </c>
    </row>
    <row r="224" spans="1:8" ht="30" x14ac:dyDescent="0.25">
      <c r="A224" s="162">
        <v>11</v>
      </c>
      <c r="B224" s="162" t="s">
        <v>283</v>
      </c>
      <c r="C224" s="162"/>
      <c r="D224" s="162" t="s">
        <v>51</v>
      </c>
      <c r="E224" s="162" t="s">
        <v>811</v>
      </c>
      <c r="F224" s="162"/>
      <c r="G224" s="163" t="s">
        <v>760</v>
      </c>
      <c r="H224" s="42"/>
    </row>
    <row r="225" spans="1:8" ht="45" x14ac:dyDescent="0.25">
      <c r="A225" s="162">
        <v>11</v>
      </c>
      <c r="B225" s="162" t="s">
        <v>284</v>
      </c>
      <c r="C225" s="162" t="s">
        <v>265</v>
      </c>
      <c r="D225" s="162" t="s">
        <v>29</v>
      </c>
      <c r="E225" s="162" t="s">
        <v>173</v>
      </c>
      <c r="F225" s="162" t="s">
        <v>31</v>
      </c>
      <c r="G225" s="42"/>
      <c r="H225" s="42" t="s">
        <v>907</v>
      </c>
    </row>
    <row r="226" spans="1:8" ht="30" x14ac:dyDescent="0.25">
      <c r="A226" s="162">
        <v>11</v>
      </c>
      <c r="B226" s="162" t="s">
        <v>285</v>
      </c>
      <c r="C226" s="162"/>
      <c r="D226" s="162" t="s">
        <v>51</v>
      </c>
      <c r="E226" s="162" t="s">
        <v>811</v>
      </c>
      <c r="F226" s="162"/>
      <c r="G226" s="163" t="s">
        <v>792</v>
      </c>
      <c r="H226" s="42"/>
    </row>
    <row r="227" spans="1:8" ht="45" x14ac:dyDescent="0.25">
      <c r="A227" s="162">
        <v>11</v>
      </c>
      <c r="B227" s="162" t="s">
        <v>286</v>
      </c>
      <c r="C227" s="162" t="s">
        <v>89</v>
      </c>
      <c r="D227" s="162" t="s">
        <v>90</v>
      </c>
      <c r="E227" s="162" t="s">
        <v>770</v>
      </c>
      <c r="F227" s="162"/>
      <c r="G227" s="42"/>
      <c r="H227" s="42" t="s">
        <v>908</v>
      </c>
    </row>
    <row r="228" spans="1:8" ht="30" x14ac:dyDescent="0.25">
      <c r="A228" s="162">
        <v>11</v>
      </c>
      <c r="B228" s="162" t="s">
        <v>287</v>
      </c>
      <c r="C228" s="162" t="s">
        <v>55</v>
      </c>
      <c r="D228" s="162" t="s">
        <v>56</v>
      </c>
      <c r="E228" s="162" t="s">
        <v>57</v>
      </c>
      <c r="F228" s="162" t="s">
        <v>5</v>
      </c>
      <c r="G228" s="42"/>
      <c r="H228" s="42" t="s">
        <v>914</v>
      </c>
    </row>
    <row r="229" spans="1:8" ht="45" x14ac:dyDescent="0.25">
      <c r="A229" s="162">
        <v>11</v>
      </c>
      <c r="B229" s="162" t="s">
        <v>288</v>
      </c>
      <c r="C229" s="162" t="s">
        <v>36</v>
      </c>
      <c r="D229" s="162" t="s">
        <v>38</v>
      </c>
      <c r="E229" s="162" t="s">
        <v>3</v>
      </c>
      <c r="F229" s="162" t="s">
        <v>8</v>
      </c>
      <c r="G229" s="42"/>
      <c r="H229" s="42" t="s">
        <v>906</v>
      </c>
    </row>
    <row r="230" spans="1:8" ht="30" x14ac:dyDescent="0.25">
      <c r="A230" s="162">
        <v>11</v>
      </c>
      <c r="B230" s="162" t="s">
        <v>289</v>
      </c>
      <c r="C230" s="162" t="s">
        <v>23</v>
      </c>
      <c r="D230" s="162" t="s">
        <v>24</v>
      </c>
      <c r="E230" s="162" t="s">
        <v>96</v>
      </c>
      <c r="F230" s="162" t="s">
        <v>33</v>
      </c>
      <c r="G230" s="42"/>
      <c r="H230" s="42" t="s">
        <v>906</v>
      </c>
    </row>
    <row r="231" spans="1:8" ht="45" x14ac:dyDescent="0.25">
      <c r="A231" s="162">
        <v>11</v>
      </c>
      <c r="B231" s="162" t="s">
        <v>290</v>
      </c>
      <c r="C231" s="162" t="s">
        <v>55</v>
      </c>
      <c r="D231" s="162" t="s">
        <v>56</v>
      </c>
      <c r="E231" s="162" t="s">
        <v>57</v>
      </c>
      <c r="F231" s="162" t="s">
        <v>5</v>
      </c>
      <c r="G231" s="42"/>
      <c r="H231" s="42" t="s">
        <v>914</v>
      </c>
    </row>
    <row r="232" spans="1:8" ht="75" x14ac:dyDescent="0.25">
      <c r="A232" s="162">
        <v>12</v>
      </c>
      <c r="B232" s="162" t="s">
        <v>291</v>
      </c>
      <c r="C232" s="162" t="s">
        <v>36</v>
      </c>
      <c r="D232" s="162" t="s">
        <v>38</v>
      </c>
      <c r="E232" s="162" t="s">
        <v>13</v>
      </c>
      <c r="F232" s="162" t="s">
        <v>7</v>
      </c>
      <c r="G232" s="162" t="s">
        <v>780</v>
      </c>
      <c r="H232" s="162" t="s">
        <v>922</v>
      </c>
    </row>
    <row r="233" spans="1:8" ht="30" x14ac:dyDescent="0.25">
      <c r="A233" s="162">
        <v>12</v>
      </c>
      <c r="B233" s="162" t="s">
        <v>292</v>
      </c>
      <c r="C233" s="162" t="s">
        <v>55</v>
      </c>
      <c r="D233" s="162" t="s">
        <v>56</v>
      </c>
      <c r="E233" s="162" t="s">
        <v>57</v>
      </c>
      <c r="F233" s="162" t="s">
        <v>5</v>
      </c>
      <c r="G233" s="42"/>
      <c r="H233" s="42" t="s">
        <v>913</v>
      </c>
    </row>
    <row r="234" spans="1:8" ht="30" x14ac:dyDescent="0.25">
      <c r="A234" s="162">
        <v>12</v>
      </c>
      <c r="B234" s="162" t="s">
        <v>293</v>
      </c>
      <c r="C234" s="162" t="s">
        <v>55</v>
      </c>
      <c r="D234" s="162" t="s">
        <v>56</v>
      </c>
      <c r="E234" s="162" t="s">
        <v>224</v>
      </c>
      <c r="F234" s="162" t="s">
        <v>10</v>
      </c>
      <c r="G234" s="42"/>
      <c r="H234" s="42" t="s">
        <v>913</v>
      </c>
    </row>
    <row r="235" spans="1:8" ht="30" x14ac:dyDescent="0.25">
      <c r="A235" s="162">
        <v>12</v>
      </c>
      <c r="B235" s="162" t="s">
        <v>294</v>
      </c>
      <c r="C235" s="162" t="s">
        <v>85</v>
      </c>
      <c r="D235" s="162" t="s">
        <v>56</v>
      </c>
      <c r="E235" s="162" t="s">
        <v>57</v>
      </c>
      <c r="F235" s="162" t="s">
        <v>5</v>
      </c>
      <c r="G235" s="42"/>
      <c r="H235" s="42" t="s">
        <v>914</v>
      </c>
    </row>
    <row r="236" spans="1:8" ht="75" x14ac:dyDescent="0.25">
      <c r="A236" s="162">
        <v>12</v>
      </c>
      <c r="B236" s="162" t="s">
        <v>295</v>
      </c>
      <c r="C236" s="162"/>
      <c r="D236" s="162" t="s">
        <v>51</v>
      </c>
      <c r="E236" s="162" t="s">
        <v>811</v>
      </c>
      <c r="F236" s="162"/>
      <c r="G236" s="163" t="s">
        <v>799</v>
      </c>
      <c r="H236" s="42"/>
    </row>
    <row r="237" spans="1:8" ht="30" x14ac:dyDescent="0.25">
      <c r="A237" s="162">
        <v>12</v>
      </c>
      <c r="B237" s="162" t="s">
        <v>296</v>
      </c>
      <c r="C237" s="162" t="s">
        <v>36</v>
      </c>
      <c r="D237" s="162" t="s">
        <v>38</v>
      </c>
      <c r="E237" s="162" t="s">
        <v>3</v>
      </c>
      <c r="F237" s="162" t="s">
        <v>6</v>
      </c>
      <c r="G237" s="42"/>
      <c r="H237" s="42" t="s">
        <v>916</v>
      </c>
    </row>
    <row r="238" spans="1:8" ht="30" x14ac:dyDescent="0.25">
      <c r="A238" s="162">
        <v>12</v>
      </c>
      <c r="B238" s="162" t="s">
        <v>297</v>
      </c>
      <c r="C238" s="162" t="s">
        <v>36</v>
      </c>
      <c r="D238" s="162" t="s">
        <v>38</v>
      </c>
      <c r="E238" s="162" t="s">
        <v>0</v>
      </c>
      <c r="F238" s="162"/>
      <c r="G238" s="42"/>
      <c r="H238" s="42" t="s">
        <v>927</v>
      </c>
    </row>
    <row r="239" spans="1:8" ht="45" x14ac:dyDescent="0.25">
      <c r="A239" s="162">
        <v>12</v>
      </c>
      <c r="B239" s="162" t="s">
        <v>298</v>
      </c>
      <c r="C239" s="162" t="s">
        <v>89</v>
      </c>
      <c r="D239" s="162" t="s">
        <v>90</v>
      </c>
      <c r="E239" s="162" t="s">
        <v>770</v>
      </c>
      <c r="F239" s="162"/>
      <c r="G239" s="42"/>
      <c r="H239" s="42" t="s">
        <v>916</v>
      </c>
    </row>
    <row r="240" spans="1:8" ht="78.75" x14ac:dyDescent="0.25">
      <c r="A240" s="162">
        <v>12</v>
      </c>
      <c r="B240" s="180" t="s">
        <v>751</v>
      </c>
      <c r="C240" s="162" t="s">
        <v>36</v>
      </c>
      <c r="D240" s="162" t="s">
        <v>38</v>
      </c>
      <c r="E240" s="162" t="s">
        <v>3</v>
      </c>
      <c r="F240" s="162" t="s">
        <v>8</v>
      </c>
      <c r="G240" s="162" t="s">
        <v>780</v>
      </c>
      <c r="H240" s="162" t="s">
        <v>922</v>
      </c>
    </row>
    <row r="241" spans="1:8" ht="75" x14ac:dyDescent="0.25">
      <c r="A241" s="162">
        <v>12</v>
      </c>
      <c r="B241" s="162" t="s">
        <v>299</v>
      </c>
      <c r="C241" s="162" t="s">
        <v>55</v>
      </c>
      <c r="D241" s="162" t="s">
        <v>56</v>
      </c>
      <c r="E241" s="162" t="s">
        <v>57</v>
      </c>
      <c r="F241" s="162" t="s">
        <v>5</v>
      </c>
      <c r="G241" s="42"/>
      <c r="H241" s="42" t="s">
        <v>914</v>
      </c>
    </row>
    <row r="242" spans="1:8" ht="45" x14ac:dyDescent="0.25">
      <c r="A242" s="162">
        <v>12</v>
      </c>
      <c r="B242" s="162" t="s">
        <v>300</v>
      </c>
      <c r="C242" s="162" t="s">
        <v>36</v>
      </c>
      <c r="D242" s="162" t="s">
        <v>37</v>
      </c>
      <c r="E242" s="162" t="s">
        <v>770</v>
      </c>
      <c r="F242" s="162"/>
      <c r="G242" s="42"/>
      <c r="H242" s="42" t="s">
        <v>908</v>
      </c>
    </row>
    <row r="243" spans="1:8" ht="45" x14ac:dyDescent="0.25">
      <c r="A243" s="162">
        <v>12</v>
      </c>
      <c r="B243" s="181" t="s">
        <v>301</v>
      </c>
      <c r="C243" s="162" t="s">
        <v>55</v>
      </c>
      <c r="D243" s="162" t="s">
        <v>56</v>
      </c>
      <c r="E243" s="162" t="s">
        <v>224</v>
      </c>
      <c r="F243" s="162" t="s">
        <v>10</v>
      </c>
      <c r="G243" s="42"/>
      <c r="H243" s="42" t="s">
        <v>915</v>
      </c>
    </row>
    <row r="244" spans="1:8" ht="30" x14ac:dyDescent="0.25">
      <c r="A244" s="162">
        <v>12</v>
      </c>
      <c r="B244" s="162" t="s">
        <v>302</v>
      </c>
      <c r="C244" s="162" t="s">
        <v>64</v>
      </c>
      <c r="D244" s="162" t="s">
        <v>65</v>
      </c>
      <c r="E244" s="162"/>
      <c r="F244" s="162" t="s">
        <v>66</v>
      </c>
      <c r="G244" s="42"/>
      <c r="H244" s="42" t="s">
        <v>934</v>
      </c>
    </row>
    <row r="245" spans="1:8" ht="30" x14ac:dyDescent="0.25">
      <c r="A245" s="162">
        <v>13</v>
      </c>
      <c r="B245" s="162" t="s">
        <v>303</v>
      </c>
      <c r="C245" s="162" t="s">
        <v>28</v>
      </c>
      <c r="D245" s="162" t="s">
        <v>29</v>
      </c>
      <c r="E245" s="162" t="s">
        <v>30</v>
      </c>
      <c r="F245" s="162" t="s">
        <v>184</v>
      </c>
      <c r="G245" s="42"/>
      <c r="H245" s="42" t="s">
        <v>907</v>
      </c>
    </row>
    <row r="246" spans="1:8" ht="30" x14ac:dyDescent="0.25">
      <c r="A246" s="162">
        <v>13</v>
      </c>
      <c r="B246" s="162" t="s">
        <v>304</v>
      </c>
      <c r="C246" s="162" t="s">
        <v>55</v>
      </c>
      <c r="D246" s="162" t="s">
        <v>56</v>
      </c>
      <c r="E246" s="162" t="s">
        <v>57</v>
      </c>
      <c r="F246" s="162" t="s">
        <v>5</v>
      </c>
      <c r="G246" s="42"/>
      <c r="H246" s="42" t="s">
        <v>914</v>
      </c>
    </row>
    <row r="247" spans="1:8" ht="30" x14ac:dyDescent="0.25">
      <c r="A247" s="162">
        <v>13</v>
      </c>
      <c r="B247" s="162" t="s">
        <v>305</v>
      </c>
      <c r="C247" s="162" t="s">
        <v>55</v>
      </c>
      <c r="D247" s="162" t="s">
        <v>56</v>
      </c>
      <c r="E247" s="162" t="s">
        <v>57</v>
      </c>
      <c r="F247" s="162" t="s">
        <v>5</v>
      </c>
      <c r="G247" s="42"/>
      <c r="H247" s="42" t="s">
        <v>914</v>
      </c>
    </row>
    <row r="248" spans="1:8" ht="45" x14ac:dyDescent="0.25">
      <c r="A248" s="162">
        <v>13</v>
      </c>
      <c r="B248" s="162" t="s">
        <v>306</v>
      </c>
      <c r="C248" s="162" t="s">
        <v>36</v>
      </c>
      <c r="D248" s="162" t="s">
        <v>37</v>
      </c>
      <c r="E248" s="162" t="s">
        <v>770</v>
      </c>
      <c r="F248" s="162"/>
      <c r="G248" s="42"/>
      <c r="H248" s="42" t="s">
        <v>908</v>
      </c>
    </row>
    <row r="249" spans="1:8" ht="45" x14ac:dyDescent="0.25">
      <c r="A249" s="162">
        <v>13</v>
      </c>
      <c r="B249" s="162" t="s">
        <v>307</v>
      </c>
      <c r="C249" s="162" t="s">
        <v>308</v>
      </c>
      <c r="D249" s="162" t="s">
        <v>309</v>
      </c>
      <c r="E249" s="162"/>
      <c r="F249" s="162" t="s">
        <v>310</v>
      </c>
      <c r="G249" s="42"/>
      <c r="H249" s="42" t="s">
        <v>914</v>
      </c>
    </row>
    <row r="250" spans="1:8" ht="30" x14ac:dyDescent="0.25">
      <c r="A250" s="162">
        <v>13</v>
      </c>
      <c r="B250" s="162" t="s">
        <v>311</v>
      </c>
      <c r="C250" s="162"/>
      <c r="D250" s="162" t="s">
        <v>51</v>
      </c>
      <c r="E250" s="162" t="s">
        <v>819</v>
      </c>
      <c r="F250" s="162"/>
      <c r="G250" s="163" t="s">
        <v>761</v>
      </c>
      <c r="H250" s="42"/>
    </row>
    <row r="251" spans="1:8" ht="30" x14ac:dyDescent="0.25">
      <c r="A251" s="162">
        <v>13</v>
      </c>
      <c r="B251" s="162" t="s">
        <v>312</v>
      </c>
      <c r="C251" s="162" t="s">
        <v>55</v>
      </c>
      <c r="D251" s="162" t="s">
        <v>56</v>
      </c>
      <c r="E251" s="162" t="s">
        <v>57</v>
      </c>
      <c r="F251" s="162" t="s">
        <v>5</v>
      </c>
      <c r="G251" s="42"/>
      <c r="H251" s="42" t="s">
        <v>914</v>
      </c>
    </row>
    <row r="252" spans="1:8" ht="45" x14ac:dyDescent="0.25">
      <c r="A252" s="162">
        <v>13</v>
      </c>
      <c r="B252" s="162" t="s">
        <v>313</v>
      </c>
      <c r="C252" s="162" t="s">
        <v>23</v>
      </c>
      <c r="D252" s="162" t="s">
        <v>24</v>
      </c>
      <c r="E252" s="162" t="s">
        <v>96</v>
      </c>
      <c r="F252" s="162" t="s">
        <v>33</v>
      </c>
      <c r="G252" s="42"/>
      <c r="H252" s="42" t="s">
        <v>906</v>
      </c>
    </row>
    <row r="253" spans="1:8" ht="45" x14ac:dyDescent="0.25">
      <c r="A253" s="162">
        <v>13</v>
      </c>
      <c r="B253" s="162" t="s">
        <v>314</v>
      </c>
      <c r="C253" s="162" t="s">
        <v>55</v>
      </c>
      <c r="D253" s="162" t="s">
        <v>56</v>
      </c>
      <c r="E253" s="162" t="s">
        <v>4</v>
      </c>
      <c r="F253" s="162"/>
      <c r="G253" s="42"/>
      <c r="H253" s="42" t="s">
        <v>913</v>
      </c>
    </row>
    <row r="254" spans="1:8" ht="75" x14ac:dyDescent="0.25">
      <c r="A254" s="162">
        <v>13</v>
      </c>
      <c r="B254" s="162" t="s">
        <v>315</v>
      </c>
      <c r="C254" s="162" t="s">
        <v>36</v>
      </c>
      <c r="D254" s="162" t="s">
        <v>38</v>
      </c>
      <c r="E254" s="162" t="s">
        <v>3</v>
      </c>
      <c r="F254" s="162" t="s">
        <v>8</v>
      </c>
      <c r="G254" s="42"/>
      <c r="H254" s="42" t="s">
        <v>916</v>
      </c>
    </row>
    <row r="255" spans="1:8" ht="45" x14ac:dyDescent="0.25">
      <c r="A255" s="162">
        <v>13</v>
      </c>
      <c r="B255" s="162" t="s">
        <v>316</v>
      </c>
      <c r="C255" s="162" t="s">
        <v>28</v>
      </c>
      <c r="D255" s="162" t="s">
        <v>29</v>
      </c>
      <c r="E255" s="162" t="s">
        <v>30</v>
      </c>
      <c r="F255" s="162" t="s">
        <v>31</v>
      </c>
      <c r="G255" s="42"/>
      <c r="H255" s="42" t="s">
        <v>907</v>
      </c>
    </row>
    <row r="256" spans="1:8" ht="30" x14ac:dyDescent="0.25">
      <c r="A256" s="162">
        <v>13</v>
      </c>
      <c r="B256" s="162" t="s">
        <v>317</v>
      </c>
      <c r="C256" s="162" t="s">
        <v>85</v>
      </c>
      <c r="D256" s="162" t="s">
        <v>56</v>
      </c>
      <c r="E256" s="162" t="s">
        <v>4</v>
      </c>
      <c r="F256" s="162"/>
      <c r="G256" s="42"/>
      <c r="H256" s="42" t="s">
        <v>913</v>
      </c>
    </row>
    <row r="257" spans="1:8" ht="30" x14ac:dyDescent="0.25">
      <c r="A257" s="162">
        <v>13</v>
      </c>
      <c r="B257" s="162" t="s">
        <v>318</v>
      </c>
      <c r="C257" s="162"/>
      <c r="D257" s="162" t="s">
        <v>51</v>
      </c>
      <c r="E257" s="162" t="s">
        <v>811</v>
      </c>
      <c r="F257" s="162"/>
      <c r="G257" s="163" t="s">
        <v>761</v>
      </c>
      <c r="H257" s="42"/>
    </row>
    <row r="258" spans="1:8" ht="45" x14ac:dyDescent="0.25">
      <c r="A258" s="162">
        <v>14</v>
      </c>
      <c r="B258" s="162" t="s">
        <v>319</v>
      </c>
      <c r="C258" s="162" t="s">
        <v>89</v>
      </c>
      <c r="D258" s="162" t="s">
        <v>90</v>
      </c>
      <c r="E258" s="162" t="s">
        <v>770</v>
      </c>
      <c r="F258" s="162"/>
      <c r="G258" s="42"/>
      <c r="H258" s="42" t="s">
        <v>908</v>
      </c>
    </row>
    <row r="259" spans="1:8" ht="30" x14ac:dyDescent="0.25">
      <c r="A259" s="162">
        <v>14</v>
      </c>
      <c r="B259" s="162" t="s">
        <v>320</v>
      </c>
      <c r="C259" s="162" t="s">
        <v>55</v>
      </c>
      <c r="D259" s="162" t="s">
        <v>56</v>
      </c>
      <c r="E259" s="162" t="s">
        <v>57</v>
      </c>
      <c r="F259" s="162" t="s">
        <v>5</v>
      </c>
      <c r="G259" s="42"/>
      <c r="H259" s="42" t="s">
        <v>928</v>
      </c>
    </row>
    <row r="260" spans="1:8" ht="30" x14ac:dyDescent="0.25">
      <c r="A260" s="162">
        <v>14</v>
      </c>
      <c r="B260" s="162" t="s">
        <v>321</v>
      </c>
      <c r="C260" s="162" t="s">
        <v>55</v>
      </c>
      <c r="D260" s="162" t="s">
        <v>56</v>
      </c>
      <c r="E260" s="162" t="s">
        <v>1</v>
      </c>
      <c r="F260" s="162" t="s">
        <v>5</v>
      </c>
      <c r="G260" s="42"/>
      <c r="H260" s="42" t="s">
        <v>933</v>
      </c>
    </row>
    <row r="261" spans="1:8" ht="120" x14ac:dyDescent="0.25">
      <c r="A261" s="162">
        <v>14</v>
      </c>
      <c r="B261" s="162" t="s">
        <v>322</v>
      </c>
      <c r="C261" s="162" t="s">
        <v>55</v>
      </c>
      <c r="D261" s="162" t="s">
        <v>56</v>
      </c>
      <c r="E261" s="162" t="s">
        <v>242</v>
      </c>
      <c r="F261" s="162" t="s">
        <v>5</v>
      </c>
      <c r="G261" s="42"/>
      <c r="H261" s="42" t="s">
        <v>914</v>
      </c>
    </row>
    <row r="262" spans="1:8" ht="90" x14ac:dyDescent="0.25">
      <c r="A262" s="162">
        <v>14</v>
      </c>
      <c r="B262" s="162" t="s">
        <v>323</v>
      </c>
      <c r="C262" s="162" t="s">
        <v>55</v>
      </c>
      <c r="D262" s="162" t="s">
        <v>56</v>
      </c>
      <c r="E262" s="162" t="s">
        <v>57</v>
      </c>
      <c r="F262" s="162" t="s">
        <v>5</v>
      </c>
      <c r="G262" s="42"/>
      <c r="H262" s="42" t="s">
        <v>914</v>
      </c>
    </row>
    <row r="263" spans="1:8" ht="30" x14ac:dyDescent="0.25">
      <c r="A263" s="162">
        <v>14</v>
      </c>
      <c r="B263" s="162" t="s">
        <v>324</v>
      </c>
      <c r="C263" s="162" t="s">
        <v>49</v>
      </c>
      <c r="D263" s="162" t="s">
        <v>38</v>
      </c>
      <c r="E263" s="162" t="s">
        <v>0</v>
      </c>
      <c r="F263" s="162"/>
      <c r="G263" s="42"/>
      <c r="H263" s="42" t="s">
        <v>909</v>
      </c>
    </row>
    <row r="264" spans="1:8" ht="30" x14ac:dyDescent="0.25">
      <c r="A264" s="162">
        <v>14</v>
      </c>
      <c r="B264" s="162" t="s">
        <v>311</v>
      </c>
      <c r="C264" s="162"/>
      <c r="D264" s="162" t="s">
        <v>51</v>
      </c>
      <c r="E264" s="162" t="s">
        <v>811</v>
      </c>
      <c r="F264" s="162"/>
      <c r="G264" s="163" t="s">
        <v>760</v>
      </c>
      <c r="H264" s="42"/>
    </row>
    <row r="265" spans="1:8" ht="45" x14ac:dyDescent="0.25">
      <c r="A265" s="162">
        <v>14</v>
      </c>
      <c r="B265" s="162" t="s">
        <v>325</v>
      </c>
      <c r="C265" s="162" t="s">
        <v>36</v>
      </c>
      <c r="D265" s="162" t="s">
        <v>37</v>
      </c>
      <c r="E265" s="162" t="s">
        <v>770</v>
      </c>
      <c r="F265" s="162"/>
      <c r="G265" s="162" t="s">
        <v>756</v>
      </c>
      <c r="H265" s="42" t="s">
        <v>908</v>
      </c>
    </row>
    <row r="266" spans="1:8" ht="45" x14ac:dyDescent="0.25">
      <c r="A266" s="162">
        <v>14</v>
      </c>
      <c r="B266" s="162" t="s">
        <v>326</v>
      </c>
      <c r="C266" s="162" t="s">
        <v>36</v>
      </c>
      <c r="D266" s="162" t="s">
        <v>37</v>
      </c>
      <c r="E266" s="162" t="s">
        <v>770</v>
      </c>
      <c r="F266" s="162"/>
      <c r="G266" s="162" t="s">
        <v>756</v>
      </c>
      <c r="H266" s="42" t="s">
        <v>908</v>
      </c>
    </row>
    <row r="267" spans="1:8" ht="45" x14ac:dyDescent="0.25">
      <c r="A267" s="162">
        <v>14</v>
      </c>
      <c r="B267" s="162" t="s">
        <v>327</v>
      </c>
      <c r="C267" s="162" t="s">
        <v>36</v>
      </c>
      <c r="D267" s="162" t="s">
        <v>37</v>
      </c>
      <c r="E267" s="162" t="s">
        <v>770</v>
      </c>
      <c r="F267" s="162"/>
      <c r="G267" s="42"/>
      <c r="H267" s="42" t="s">
        <v>908</v>
      </c>
    </row>
    <row r="268" spans="1:8" ht="45" x14ac:dyDescent="0.25">
      <c r="A268" s="162">
        <v>14</v>
      </c>
      <c r="B268" s="162" t="s">
        <v>328</v>
      </c>
      <c r="C268" s="162" t="s">
        <v>36</v>
      </c>
      <c r="D268" s="162" t="s">
        <v>38</v>
      </c>
      <c r="E268" s="162" t="s">
        <v>3</v>
      </c>
      <c r="F268" s="162" t="s">
        <v>7</v>
      </c>
      <c r="G268" s="42"/>
      <c r="H268" s="42" t="s">
        <v>906</v>
      </c>
    </row>
    <row r="269" spans="1:8" ht="45" x14ac:dyDescent="0.25">
      <c r="A269" s="162">
        <v>14</v>
      </c>
      <c r="B269" s="162" t="s">
        <v>329</v>
      </c>
      <c r="C269" s="162" t="s">
        <v>36</v>
      </c>
      <c r="D269" s="162" t="s">
        <v>37</v>
      </c>
      <c r="E269" s="162" t="s">
        <v>770</v>
      </c>
      <c r="F269" s="162"/>
      <c r="G269" s="42"/>
      <c r="H269" s="42" t="s">
        <v>908</v>
      </c>
    </row>
    <row r="270" spans="1:8" ht="45" x14ac:dyDescent="0.25">
      <c r="A270" s="162">
        <v>14</v>
      </c>
      <c r="B270" s="162" t="s">
        <v>330</v>
      </c>
      <c r="C270" s="162" t="s">
        <v>36</v>
      </c>
      <c r="D270" s="162" t="s">
        <v>763</v>
      </c>
      <c r="E270" s="162"/>
      <c r="F270" s="162" t="s">
        <v>220</v>
      </c>
      <c r="G270" s="162" t="s">
        <v>781</v>
      </c>
      <c r="H270" s="42" t="s">
        <v>935</v>
      </c>
    </row>
    <row r="271" spans="1:8" ht="59.25" customHeight="1" x14ac:dyDescent="0.25">
      <c r="A271" s="162">
        <v>14</v>
      </c>
      <c r="B271" s="182" t="s">
        <v>331</v>
      </c>
      <c r="C271" s="182" t="s">
        <v>36</v>
      </c>
      <c r="D271" s="182" t="s">
        <v>38</v>
      </c>
      <c r="E271" s="182" t="s">
        <v>3</v>
      </c>
      <c r="F271" s="162" t="s">
        <v>7</v>
      </c>
      <c r="G271" s="42"/>
      <c r="H271" s="42" t="s">
        <v>916</v>
      </c>
    </row>
    <row r="272" spans="1:8" x14ac:dyDescent="0.25">
      <c r="A272" s="162">
        <v>14</v>
      </c>
      <c r="B272" s="182"/>
      <c r="C272" s="182"/>
      <c r="D272" s="182"/>
      <c r="E272" s="182"/>
      <c r="F272" s="162" t="s">
        <v>8</v>
      </c>
      <c r="G272" s="42"/>
      <c r="H272" s="42"/>
    </row>
    <row r="273" spans="1:8" ht="75" x14ac:dyDescent="0.25">
      <c r="A273" s="162">
        <v>14</v>
      </c>
      <c r="B273" s="162" t="s">
        <v>332</v>
      </c>
      <c r="C273" s="162" t="s">
        <v>49</v>
      </c>
      <c r="D273" s="162" t="s">
        <v>37</v>
      </c>
      <c r="E273" s="162" t="s">
        <v>770</v>
      </c>
      <c r="F273" s="162"/>
      <c r="G273" s="42"/>
      <c r="H273" s="42" t="s">
        <v>908</v>
      </c>
    </row>
    <row r="274" spans="1:8" ht="30" x14ac:dyDescent="0.25">
      <c r="A274" s="162">
        <v>14</v>
      </c>
      <c r="B274" s="162" t="s">
        <v>333</v>
      </c>
      <c r="C274" s="162"/>
      <c r="D274" s="162" t="s">
        <v>105</v>
      </c>
      <c r="E274" s="162"/>
      <c r="F274" s="162" t="s">
        <v>814</v>
      </c>
      <c r="G274" s="163" t="s">
        <v>760</v>
      </c>
      <c r="H274" s="42"/>
    </row>
    <row r="275" spans="1:8" ht="45" x14ac:dyDescent="0.25">
      <c r="A275" s="162">
        <v>14</v>
      </c>
      <c r="B275" s="162" t="s">
        <v>334</v>
      </c>
      <c r="C275" s="162" t="s">
        <v>55</v>
      </c>
      <c r="D275" s="162" t="s">
        <v>56</v>
      </c>
      <c r="E275" s="162" t="s">
        <v>242</v>
      </c>
      <c r="F275" s="162" t="s">
        <v>5</v>
      </c>
      <c r="G275" s="42"/>
      <c r="H275" s="42" t="s">
        <v>914</v>
      </c>
    </row>
    <row r="276" spans="1:8" ht="30" x14ac:dyDescent="0.25">
      <c r="A276" s="162">
        <v>14</v>
      </c>
      <c r="B276" s="162" t="s">
        <v>335</v>
      </c>
      <c r="C276" s="162" t="s">
        <v>55</v>
      </c>
      <c r="D276" s="162" t="s">
        <v>56</v>
      </c>
      <c r="E276" s="162" t="s">
        <v>224</v>
      </c>
      <c r="F276" s="162" t="s">
        <v>5</v>
      </c>
      <c r="G276" s="42"/>
      <c r="H276" s="42" t="s">
        <v>914</v>
      </c>
    </row>
    <row r="277" spans="1:8" ht="105" x14ac:dyDescent="0.25">
      <c r="A277" s="162">
        <v>14</v>
      </c>
      <c r="B277" s="162" t="s">
        <v>336</v>
      </c>
      <c r="C277" s="162" t="s">
        <v>89</v>
      </c>
      <c r="D277" s="162" t="s">
        <v>90</v>
      </c>
      <c r="E277" s="162" t="s">
        <v>770</v>
      </c>
      <c r="F277" s="162"/>
      <c r="G277" s="42"/>
      <c r="H277" s="42" t="s">
        <v>908</v>
      </c>
    </row>
    <row r="278" spans="1:8" ht="30" x14ac:dyDescent="0.25">
      <c r="A278" s="162">
        <v>14</v>
      </c>
      <c r="B278" s="162" t="s">
        <v>337</v>
      </c>
      <c r="C278" s="162" t="s">
        <v>40</v>
      </c>
      <c r="D278" s="162" t="s">
        <v>41</v>
      </c>
      <c r="E278" s="162" t="s">
        <v>42</v>
      </c>
      <c r="F278" s="162"/>
      <c r="G278" s="42"/>
      <c r="H278" s="42" t="s">
        <v>949</v>
      </c>
    </row>
    <row r="279" spans="1:8" ht="60" x14ac:dyDescent="0.25">
      <c r="A279" s="162">
        <v>14</v>
      </c>
      <c r="B279" s="162" t="s">
        <v>338</v>
      </c>
      <c r="C279" s="162" t="s">
        <v>28</v>
      </c>
      <c r="D279" s="162" t="s">
        <v>29</v>
      </c>
      <c r="E279" s="162" t="s">
        <v>30</v>
      </c>
      <c r="F279" s="162" t="s">
        <v>31</v>
      </c>
      <c r="G279" s="42"/>
      <c r="H279" s="42" t="s">
        <v>923</v>
      </c>
    </row>
    <row r="280" spans="1:8" ht="45" x14ac:dyDescent="0.25">
      <c r="A280" s="162">
        <v>14</v>
      </c>
      <c r="B280" s="162" t="s">
        <v>339</v>
      </c>
      <c r="C280" s="162" t="s">
        <v>28</v>
      </c>
      <c r="D280" s="162" t="s">
        <v>29</v>
      </c>
      <c r="E280" s="162" t="s">
        <v>30</v>
      </c>
      <c r="F280" s="162" t="s">
        <v>184</v>
      </c>
      <c r="G280" s="162" t="s">
        <v>756</v>
      </c>
      <c r="H280" s="162" t="s">
        <v>921</v>
      </c>
    </row>
    <row r="281" spans="1:8" ht="135" x14ac:dyDescent="0.25">
      <c r="A281" s="162">
        <v>14</v>
      </c>
      <c r="B281" s="162" t="s">
        <v>340</v>
      </c>
      <c r="C281" s="162" t="s">
        <v>36</v>
      </c>
      <c r="D281" s="162" t="s">
        <v>37</v>
      </c>
      <c r="E281" s="162" t="s">
        <v>770</v>
      </c>
      <c r="F281" s="162"/>
      <c r="G281" s="42"/>
      <c r="H281" s="42" t="s">
        <v>916</v>
      </c>
    </row>
    <row r="282" spans="1:8" ht="45" x14ac:dyDescent="0.25">
      <c r="A282" s="162">
        <v>14</v>
      </c>
      <c r="B282" s="182" t="s">
        <v>341</v>
      </c>
      <c r="C282" s="182" t="s">
        <v>64</v>
      </c>
      <c r="D282" s="182" t="s">
        <v>65</v>
      </c>
      <c r="E282" s="182"/>
      <c r="F282" s="162" t="s">
        <v>66</v>
      </c>
      <c r="G282" s="163" t="s">
        <v>781</v>
      </c>
      <c r="H282" s="42" t="s">
        <v>945</v>
      </c>
    </row>
    <row r="283" spans="1:8" x14ac:dyDescent="0.25">
      <c r="A283" s="162">
        <v>14</v>
      </c>
      <c r="B283" s="182"/>
      <c r="C283" s="182"/>
      <c r="D283" s="182"/>
      <c r="E283" s="182"/>
      <c r="F283" s="162" t="s">
        <v>80</v>
      </c>
      <c r="G283" s="42"/>
      <c r="H283" s="42"/>
    </row>
    <row r="284" spans="1:8" x14ac:dyDescent="0.25">
      <c r="A284" s="162">
        <v>14</v>
      </c>
      <c r="B284" s="162" t="s">
        <v>342</v>
      </c>
      <c r="C284" s="162" t="s">
        <v>55</v>
      </c>
      <c r="D284" s="162" t="s">
        <v>56</v>
      </c>
      <c r="E284" s="162" t="s">
        <v>1</v>
      </c>
      <c r="F284" s="162" t="s">
        <v>2</v>
      </c>
      <c r="G284" s="42"/>
      <c r="H284" s="42" t="s">
        <v>913</v>
      </c>
    </row>
    <row r="285" spans="1:8" ht="45" x14ac:dyDescent="0.25">
      <c r="A285" s="162">
        <v>14</v>
      </c>
      <c r="B285" s="162" t="s">
        <v>343</v>
      </c>
      <c r="C285" s="162" t="s">
        <v>89</v>
      </c>
      <c r="D285" s="162" t="s">
        <v>90</v>
      </c>
      <c r="E285" s="162" t="s">
        <v>770</v>
      </c>
      <c r="F285" s="162"/>
      <c r="G285" s="42"/>
      <c r="H285" s="42" t="s">
        <v>908</v>
      </c>
    </row>
    <row r="286" spans="1:8" ht="30" x14ac:dyDescent="0.25">
      <c r="A286" s="162">
        <v>14</v>
      </c>
      <c r="B286" s="162" t="s">
        <v>344</v>
      </c>
      <c r="C286" s="162" t="s">
        <v>89</v>
      </c>
      <c r="D286" s="162" t="s">
        <v>90</v>
      </c>
      <c r="E286" s="162" t="s">
        <v>775</v>
      </c>
      <c r="F286" s="162"/>
      <c r="G286" s="42"/>
      <c r="H286" s="42" t="s">
        <v>906</v>
      </c>
    </row>
    <row r="287" spans="1:8" x14ac:dyDescent="0.25">
      <c r="A287" s="182">
        <v>15</v>
      </c>
      <c r="B287" s="182" t="s">
        <v>345</v>
      </c>
      <c r="C287" s="182" t="s">
        <v>258</v>
      </c>
      <c r="D287" s="182" t="s">
        <v>24</v>
      </c>
      <c r="E287" s="182" t="s">
        <v>96</v>
      </c>
      <c r="F287" s="162" t="s">
        <v>26</v>
      </c>
      <c r="G287" s="42"/>
      <c r="H287" s="42" t="s">
        <v>911</v>
      </c>
    </row>
    <row r="288" spans="1:8" x14ac:dyDescent="0.25">
      <c r="A288" s="182"/>
      <c r="B288" s="182"/>
      <c r="C288" s="182"/>
      <c r="D288" s="182"/>
      <c r="E288" s="182"/>
      <c r="F288" s="162" t="s">
        <v>124</v>
      </c>
      <c r="G288" s="42"/>
      <c r="H288" s="42"/>
    </row>
    <row r="289" spans="1:8" ht="30" x14ac:dyDescent="0.25">
      <c r="A289" s="162">
        <v>15</v>
      </c>
      <c r="B289" s="162" t="s">
        <v>346</v>
      </c>
      <c r="C289" s="162"/>
      <c r="D289" s="162" t="s">
        <v>105</v>
      </c>
      <c r="E289" s="162"/>
      <c r="F289" s="162" t="s">
        <v>814</v>
      </c>
      <c r="G289" s="163" t="s">
        <v>760</v>
      </c>
      <c r="H289" s="42"/>
    </row>
    <row r="290" spans="1:8" ht="45" x14ac:dyDescent="0.25">
      <c r="A290" s="162">
        <v>15</v>
      </c>
      <c r="B290" s="162" t="s">
        <v>347</v>
      </c>
      <c r="C290" s="162" t="s">
        <v>89</v>
      </c>
      <c r="D290" s="162" t="s">
        <v>90</v>
      </c>
      <c r="E290" s="162" t="s">
        <v>770</v>
      </c>
      <c r="F290" s="162"/>
      <c r="G290" s="163" t="s">
        <v>785</v>
      </c>
      <c r="H290" s="42" t="s">
        <v>937</v>
      </c>
    </row>
    <row r="291" spans="1:8" ht="30" x14ac:dyDescent="0.25">
      <c r="A291" s="162">
        <v>15</v>
      </c>
      <c r="B291" s="162" t="s">
        <v>348</v>
      </c>
      <c r="C291" s="162" t="s">
        <v>55</v>
      </c>
      <c r="D291" s="162" t="s">
        <v>56</v>
      </c>
      <c r="E291" s="162" t="s">
        <v>9</v>
      </c>
      <c r="F291" s="162" t="s">
        <v>5</v>
      </c>
      <c r="G291" s="42"/>
      <c r="H291" s="42" t="s">
        <v>914</v>
      </c>
    </row>
    <row r="292" spans="1:8" ht="30" x14ac:dyDescent="0.25">
      <c r="A292" s="162">
        <v>15</v>
      </c>
      <c r="B292" s="162" t="s">
        <v>349</v>
      </c>
      <c r="C292" s="162" t="s">
        <v>258</v>
      </c>
      <c r="D292" s="162" t="s">
        <v>24</v>
      </c>
      <c r="E292" s="162" t="s">
        <v>96</v>
      </c>
      <c r="F292" s="162" t="s">
        <v>26</v>
      </c>
      <c r="G292" s="42"/>
      <c r="H292" s="42" t="s">
        <v>911</v>
      </c>
    </row>
    <row r="293" spans="1:8" ht="30" x14ac:dyDescent="0.25">
      <c r="A293" s="162">
        <v>15</v>
      </c>
      <c r="B293" s="162" t="s">
        <v>346</v>
      </c>
      <c r="C293" s="162"/>
      <c r="D293" s="162" t="s">
        <v>105</v>
      </c>
      <c r="E293" s="162"/>
      <c r="F293" s="162" t="s">
        <v>814</v>
      </c>
      <c r="G293" s="163" t="s">
        <v>760</v>
      </c>
      <c r="H293" s="42"/>
    </row>
    <row r="294" spans="1:8" ht="45" x14ac:dyDescent="0.25">
      <c r="A294" s="162">
        <v>15</v>
      </c>
      <c r="B294" s="162" t="s">
        <v>803</v>
      </c>
      <c r="C294" s="162" t="s">
        <v>55</v>
      </c>
      <c r="D294" s="162" t="s">
        <v>56</v>
      </c>
      <c r="E294" s="162" t="s">
        <v>1</v>
      </c>
      <c r="F294" s="162" t="s">
        <v>5</v>
      </c>
      <c r="G294" s="162" t="s">
        <v>784</v>
      </c>
      <c r="H294" s="162" t="s">
        <v>912</v>
      </c>
    </row>
    <row r="295" spans="1:8" ht="60" x14ac:dyDescent="0.25">
      <c r="A295" s="162">
        <v>15</v>
      </c>
      <c r="B295" s="162" t="s">
        <v>350</v>
      </c>
      <c r="C295" s="162" t="s">
        <v>55</v>
      </c>
      <c r="D295" s="162" t="s">
        <v>56</v>
      </c>
      <c r="E295" s="162" t="s">
        <v>9</v>
      </c>
      <c r="F295" s="162" t="s">
        <v>10</v>
      </c>
      <c r="G295" s="42"/>
      <c r="H295" s="42" t="s">
        <v>914</v>
      </c>
    </row>
    <row r="296" spans="1:8" ht="105" x14ac:dyDescent="0.25">
      <c r="A296" s="162">
        <v>15</v>
      </c>
      <c r="B296" s="162" t="s">
        <v>804</v>
      </c>
      <c r="C296" s="162" t="s">
        <v>55</v>
      </c>
      <c r="D296" s="162" t="s">
        <v>56</v>
      </c>
      <c r="E296" s="162" t="s">
        <v>11</v>
      </c>
      <c r="F296" s="162" t="s">
        <v>5</v>
      </c>
      <c r="G296" s="42"/>
      <c r="H296" s="42" t="s">
        <v>914</v>
      </c>
    </row>
    <row r="297" spans="1:8" ht="45" x14ac:dyDescent="0.25">
      <c r="A297" s="162">
        <v>15</v>
      </c>
      <c r="B297" s="162" t="s">
        <v>351</v>
      </c>
      <c r="C297" s="162" t="s">
        <v>36</v>
      </c>
      <c r="D297" s="162" t="s">
        <v>38</v>
      </c>
      <c r="E297" s="162" t="s">
        <v>3</v>
      </c>
      <c r="F297" s="162" t="s">
        <v>8</v>
      </c>
      <c r="G297" s="162" t="s">
        <v>794</v>
      </c>
      <c r="H297" s="162" t="s">
        <v>922</v>
      </c>
    </row>
    <row r="298" spans="1:8" ht="60" x14ac:dyDescent="0.25">
      <c r="A298" s="162">
        <v>15</v>
      </c>
      <c r="B298" s="162" t="s">
        <v>352</v>
      </c>
      <c r="C298" s="162" t="s">
        <v>55</v>
      </c>
      <c r="D298" s="162" t="s">
        <v>56</v>
      </c>
      <c r="E298" s="162" t="s">
        <v>11</v>
      </c>
      <c r="F298" s="162" t="s">
        <v>5</v>
      </c>
      <c r="G298" s="42"/>
      <c r="H298" s="42" t="s">
        <v>915</v>
      </c>
    </row>
    <row r="299" spans="1:8" ht="45" x14ac:dyDescent="0.25">
      <c r="A299" s="162">
        <v>15</v>
      </c>
      <c r="B299" s="162" t="s">
        <v>353</v>
      </c>
      <c r="C299" s="162" t="s">
        <v>55</v>
      </c>
      <c r="D299" s="162" t="s">
        <v>56</v>
      </c>
      <c r="E299" s="162" t="s">
        <v>4</v>
      </c>
      <c r="F299" s="162"/>
      <c r="G299" s="163" t="s">
        <v>784</v>
      </c>
      <c r="H299" s="42" t="s">
        <v>912</v>
      </c>
    </row>
    <row r="300" spans="1:8" ht="30" x14ac:dyDescent="0.25">
      <c r="A300" s="162">
        <v>15</v>
      </c>
      <c r="B300" s="162" t="s">
        <v>354</v>
      </c>
      <c r="C300" s="162" t="s">
        <v>55</v>
      </c>
      <c r="D300" s="162" t="s">
        <v>56</v>
      </c>
      <c r="E300" s="162" t="s">
        <v>224</v>
      </c>
      <c r="F300" s="162" t="s">
        <v>10</v>
      </c>
      <c r="G300" s="42"/>
      <c r="H300" s="42" t="s">
        <v>913</v>
      </c>
    </row>
    <row r="301" spans="1:8" ht="45" x14ac:dyDescent="0.25">
      <c r="A301" s="162">
        <v>15</v>
      </c>
      <c r="B301" s="162" t="s">
        <v>355</v>
      </c>
      <c r="C301" s="162" t="s">
        <v>89</v>
      </c>
      <c r="D301" s="162" t="s">
        <v>90</v>
      </c>
      <c r="E301" s="162" t="s">
        <v>770</v>
      </c>
      <c r="F301" s="162"/>
      <c r="G301" s="42"/>
      <c r="H301" s="42" t="s">
        <v>916</v>
      </c>
    </row>
    <row r="302" spans="1:8" ht="30" x14ac:dyDescent="0.25">
      <c r="A302" s="162">
        <v>15</v>
      </c>
      <c r="B302" s="181" t="s">
        <v>356</v>
      </c>
      <c r="C302" s="162" t="s">
        <v>40</v>
      </c>
      <c r="D302" s="162" t="s">
        <v>41</v>
      </c>
      <c r="E302" s="162" t="s">
        <v>42</v>
      </c>
      <c r="F302" s="162"/>
      <c r="G302" s="42"/>
      <c r="H302" s="42" t="s">
        <v>936</v>
      </c>
    </row>
    <row r="303" spans="1:8" ht="30" x14ac:dyDescent="0.25">
      <c r="A303" s="162">
        <v>15</v>
      </c>
      <c r="B303" s="181" t="s">
        <v>357</v>
      </c>
      <c r="C303" s="162" t="s">
        <v>55</v>
      </c>
      <c r="D303" s="162" t="s">
        <v>56</v>
      </c>
      <c r="E303" s="162" t="s">
        <v>224</v>
      </c>
      <c r="F303" s="162" t="s">
        <v>2</v>
      </c>
      <c r="G303" s="42"/>
      <c r="H303" s="42" t="s">
        <v>913</v>
      </c>
    </row>
    <row r="304" spans="1:8" ht="30" x14ac:dyDescent="0.25">
      <c r="A304" s="162">
        <v>15</v>
      </c>
      <c r="B304" s="181" t="s">
        <v>358</v>
      </c>
      <c r="C304" s="162" t="s">
        <v>55</v>
      </c>
      <c r="D304" s="162" t="s">
        <v>56</v>
      </c>
      <c r="E304" s="162" t="s">
        <v>57</v>
      </c>
      <c r="F304" s="162" t="s">
        <v>10</v>
      </c>
      <c r="G304" s="42"/>
      <c r="H304" s="42" t="s">
        <v>915</v>
      </c>
    </row>
    <row r="305" spans="1:8" ht="45" x14ac:dyDescent="0.25">
      <c r="A305" s="162">
        <v>15</v>
      </c>
      <c r="B305" s="187" t="s">
        <v>752</v>
      </c>
      <c r="C305" s="162" t="s">
        <v>36</v>
      </c>
      <c r="D305" s="162" t="s">
        <v>38</v>
      </c>
      <c r="E305" s="162" t="s">
        <v>12</v>
      </c>
      <c r="F305" s="162"/>
      <c r="G305" s="162" t="s">
        <v>756</v>
      </c>
      <c r="H305" s="42" t="s">
        <v>909</v>
      </c>
    </row>
    <row r="306" spans="1:8" ht="45" x14ac:dyDescent="0.25">
      <c r="A306" s="162">
        <v>15</v>
      </c>
      <c r="B306" s="162" t="s">
        <v>359</v>
      </c>
      <c r="C306" s="162" t="s">
        <v>89</v>
      </c>
      <c r="D306" s="162" t="s">
        <v>90</v>
      </c>
      <c r="E306" s="162" t="s">
        <v>770</v>
      </c>
      <c r="F306" s="162"/>
      <c r="G306" s="162"/>
      <c r="H306" s="42" t="s">
        <v>908</v>
      </c>
    </row>
    <row r="307" spans="1:8" ht="45" x14ac:dyDescent="0.25">
      <c r="A307" s="162">
        <v>15</v>
      </c>
      <c r="B307" s="162" t="s">
        <v>360</v>
      </c>
      <c r="C307" s="162" t="s">
        <v>55</v>
      </c>
      <c r="D307" s="162" t="s">
        <v>56</v>
      </c>
      <c r="E307" s="162" t="s">
        <v>224</v>
      </c>
      <c r="F307" s="162" t="s">
        <v>10</v>
      </c>
      <c r="G307" s="162" t="s">
        <v>790</v>
      </c>
      <c r="H307" s="162" t="s">
        <v>938</v>
      </c>
    </row>
    <row r="308" spans="1:8" ht="45" x14ac:dyDescent="0.25">
      <c r="A308" s="162">
        <v>15</v>
      </c>
      <c r="B308" s="162" t="s">
        <v>361</v>
      </c>
      <c r="C308" s="162" t="s">
        <v>55</v>
      </c>
      <c r="D308" s="162" t="s">
        <v>56</v>
      </c>
      <c r="E308" s="162" t="s">
        <v>362</v>
      </c>
      <c r="F308" s="162" t="s">
        <v>10</v>
      </c>
      <c r="G308" s="162" t="s">
        <v>783</v>
      </c>
      <c r="H308" s="162" t="s">
        <v>924</v>
      </c>
    </row>
    <row r="309" spans="1:8" ht="60" x14ac:dyDescent="0.25">
      <c r="A309" s="162">
        <v>16</v>
      </c>
      <c r="B309" s="162" t="s">
        <v>363</v>
      </c>
      <c r="C309" s="162" t="s">
        <v>55</v>
      </c>
      <c r="D309" s="162" t="s">
        <v>56</v>
      </c>
      <c r="E309" s="162" t="s">
        <v>57</v>
      </c>
      <c r="F309" s="162" t="s">
        <v>5</v>
      </c>
      <c r="G309" s="42"/>
      <c r="H309" s="42" t="s">
        <v>914</v>
      </c>
    </row>
    <row r="310" spans="1:8" ht="60" x14ac:dyDescent="0.25">
      <c r="A310" s="162">
        <v>16</v>
      </c>
      <c r="B310" s="162" t="s">
        <v>364</v>
      </c>
      <c r="C310" s="182" t="s">
        <v>55</v>
      </c>
      <c r="D310" s="182" t="s">
        <v>56</v>
      </c>
      <c r="E310" s="182" t="s">
        <v>57</v>
      </c>
      <c r="F310" s="182" t="s">
        <v>5</v>
      </c>
      <c r="G310" s="42"/>
      <c r="H310" s="42" t="s">
        <v>914</v>
      </c>
    </row>
    <row r="311" spans="1:8" ht="45" x14ac:dyDescent="0.25">
      <c r="A311" s="162">
        <v>16</v>
      </c>
      <c r="B311" s="162" t="s">
        <v>365</v>
      </c>
      <c r="C311" s="182"/>
      <c r="D311" s="182"/>
      <c r="E311" s="182"/>
      <c r="F311" s="182"/>
      <c r="G311" s="42"/>
      <c r="H311" s="42"/>
    </row>
    <row r="312" spans="1:8" ht="60" x14ac:dyDescent="0.25">
      <c r="A312" s="162">
        <v>16</v>
      </c>
      <c r="B312" s="162" t="s">
        <v>366</v>
      </c>
      <c r="C312" s="162" t="s">
        <v>36</v>
      </c>
      <c r="D312" s="162" t="s">
        <v>38</v>
      </c>
      <c r="E312" s="162" t="s">
        <v>3</v>
      </c>
      <c r="F312" s="162" t="s">
        <v>6</v>
      </c>
      <c r="G312" s="162" t="s">
        <v>795</v>
      </c>
      <c r="H312" s="162" t="s">
        <v>922</v>
      </c>
    </row>
    <row r="313" spans="1:8" ht="45" x14ac:dyDescent="0.25">
      <c r="A313" s="162">
        <v>16</v>
      </c>
      <c r="B313" s="162" t="s">
        <v>367</v>
      </c>
      <c r="C313" s="162" t="s">
        <v>89</v>
      </c>
      <c r="D313" s="162" t="s">
        <v>90</v>
      </c>
      <c r="E313" s="162" t="s">
        <v>770</v>
      </c>
      <c r="F313" s="162"/>
      <c r="G313" s="42"/>
      <c r="H313" s="42" t="s">
        <v>908</v>
      </c>
    </row>
    <row r="314" spans="1:8" ht="195" x14ac:dyDescent="0.25">
      <c r="A314" s="162">
        <v>16</v>
      </c>
      <c r="B314" s="162" t="s">
        <v>782</v>
      </c>
      <c r="C314" s="162" t="s">
        <v>55</v>
      </c>
      <c r="D314" s="162" t="s">
        <v>56</v>
      </c>
      <c r="E314" s="162" t="s">
        <v>57</v>
      </c>
      <c r="F314" s="162" t="s">
        <v>5</v>
      </c>
      <c r="G314" s="162"/>
      <c r="H314" s="162" t="s">
        <v>928</v>
      </c>
    </row>
    <row r="315" spans="1:8" ht="30" x14ac:dyDescent="0.25">
      <c r="A315" s="162">
        <v>16</v>
      </c>
      <c r="B315" s="162" t="s">
        <v>368</v>
      </c>
      <c r="C315" s="162" t="s">
        <v>64</v>
      </c>
      <c r="D315" s="162" t="s">
        <v>65</v>
      </c>
      <c r="E315" s="162"/>
      <c r="F315" s="162" t="s">
        <v>80</v>
      </c>
      <c r="G315" s="42"/>
      <c r="H315" s="42" t="s">
        <v>917</v>
      </c>
    </row>
    <row r="316" spans="1:8" ht="45" x14ac:dyDescent="0.25">
      <c r="A316" s="162">
        <v>16</v>
      </c>
      <c r="B316" s="162" t="s">
        <v>369</v>
      </c>
      <c r="C316" s="162" t="s">
        <v>89</v>
      </c>
      <c r="D316" s="162" t="s">
        <v>90</v>
      </c>
      <c r="E316" s="162" t="s">
        <v>770</v>
      </c>
      <c r="F316" s="162"/>
      <c r="G316" s="42"/>
      <c r="H316" s="162" t="s">
        <v>908</v>
      </c>
    </row>
    <row r="317" spans="1:8" ht="105" x14ac:dyDescent="0.25">
      <c r="A317" s="162">
        <v>16</v>
      </c>
      <c r="B317" s="162" t="s">
        <v>370</v>
      </c>
      <c r="C317" s="162" t="s">
        <v>55</v>
      </c>
      <c r="D317" s="162" t="s">
        <v>56</v>
      </c>
      <c r="E317" s="162" t="s">
        <v>242</v>
      </c>
      <c r="F317" s="162" t="s">
        <v>5</v>
      </c>
      <c r="G317" s="42"/>
      <c r="H317" s="42" t="s">
        <v>914</v>
      </c>
    </row>
    <row r="318" spans="1:8" ht="30" x14ac:dyDescent="0.25">
      <c r="A318" s="162">
        <v>16</v>
      </c>
      <c r="B318" s="162" t="s">
        <v>371</v>
      </c>
      <c r="C318" s="162" t="s">
        <v>55</v>
      </c>
      <c r="D318" s="162" t="s">
        <v>56</v>
      </c>
      <c r="E318" s="162" t="s">
        <v>224</v>
      </c>
      <c r="F318" s="162" t="s">
        <v>5</v>
      </c>
      <c r="G318" s="42"/>
      <c r="H318" s="162" t="s">
        <v>915</v>
      </c>
    </row>
    <row r="319" spans="1:8" ht="33" x14ac:dyDescent="0.25">
      <c r="A319" s="162">
        <v>16</v>
      </c>
      <c r="B319" s="162" t="s">
        <v>372</v>
      </c>
      <c r="C319" s="162" t="s">
        <v>49</v>
      </c>
      <c r="D319" s="162" t="s">
        <v>37</v>
      </c>
      <c r="E319" s="162" t="s">
        <v>12</v>
      </c>
      <c r="F319" s="162"/>
      <c r="G319" s="163"/>
      <c r="H319" s="42" t="s">
        <v>919</v>
      </c>
    </row>
    <row r="320" spans="1:8" ht="30" x14ac:dyDescent="0.25">
      <c r="A320" s="162">
        <v>16</v>
      </c>
      <c r="B320" s="162" t="s">
        <v>373</v>
      </c>
      <c r="C320" s="162"/>
      <c r="D320" s="162" t="s">
        <v>105</v>
      </c>
      <c r="E320" s="162"/>
      <c r="F320" s="162" t="s">
        <v>820</v>
      </c>
      <c r="G320" s="163" t="s">
        <v>760</v>
      </c>
      <c r="H320" s="42"/>
    </row>
    <row r="321" spans="1:8" ht="30" x14ac:dyDescent="0.25">
      <c r="A321" s="162">
        <v>16</v>
      </c>
      <c r="B321" s="162" t="s">
        <v>374</v>
      </c>
      <c r="C321" s="162" t="s">
        <v>85</v>
      </c>
      <c r="D321" s="162" t="s">
        <v>56</v>
      </c>
      <c r="E321" s="162" t="s">
        <v>1</v>
      </c>
      <c r="F321" s="162" t="s">
        <v>5</v>
      </c>
      <c r="G321" s="42"/>
      <c r="H321" s="42" t="s">
        <v>913</v>
      </c>
    </row>
    <row r="322" spans="1:8" ht="30" x14ac:dyDescent="0.25">
      <c r="A322" s="162">
        <v>16</v>
      </c>
      <c r="B322" s="187" t="s">
        <v>226</v>
      </c>
      <c r="C322" s="162"/>
      <c r="D322" s="162" t="s">
        <v>139</v>
      </c>
      <c r="E322" s="162" t="s">
        <v>815</v>
      </c>
      <c r="F322" s="42"/>
      <c r="G322" s="163" t="s">
        <v>761</v>
      </c>
      <c r="H322" s="42"/>
    </row>
    <row r="323" spans="1:8" ht="60" x14ac:dyDescent="0.25">
      <c r="A323" s="162">
        <v>16</v>
      </c>
      <c r="B323" s="162" t="s">
        <v>375</v>
      </c>
      <c r="C323" s="162" t="s">
        <v>36</v>
      </c>
      <c r="D323" s="162" t="s">
        <v>38</v>
      </c>
      <c r="E323" s="162" t="s">
        <v>3</v>
      </c>
      <c r="F323" s="162" t="s">
        <v>8</v>
      </c>
      <c r="G323" s="42"/>
      <c r="H323" s="42" t="s">
        <v>911</v>
      </c>
    </row>
    <row r="324" spans="1:8" ht="30" x14ac:dyDescent="0.25">
      <c r="A324" s="162">
        <v>16</v>
      </c>
      <c r="B324" s="162" t="s">
        <v>318</v>
      </c>
      <c r="C324" s="162" t="s">
        <v>55</v>
      </c>
      <c r="D324" s="162" t="s">
        <v>56</v>
      </c>
      <c r="E324" s="162" t="s">
        <v>4</v>
      </c>
      <c r="F324" s="162"/>
      <c r="G324" s="42"/>
      <c r="H324" s="42" t="s">
        <v>913</v>
      </c>
    </row>
    <row r="325" spans="1:8" ht="60" x14ac:dyDescent="0.25">
      <c r="A325" s="162">
        <v>16</v>
      </c>
      <c r="B325" s="162" t="s">
        <v>376</v>
      </c>
      <c r="C325" s="162" t="s">
        <v>36</v>
      </c>
      <c r="D325" s="162" t="s">
        <v>38</v>
      </c>
      <c r="E325" s="162" t="s">
        <v>3</v>
      </c>
      <c r="F325" s="162" t="s">
        <v>8</v>
      </c>
      <c r="G325" s="42"/>
      <c r="H325" s="42" t="s">
        <v>911</v>
      </c>
    </row>
    <row r="326" spans="1:8" ht="30" x14ac:dyDescent="0.25">
      <c r="A326" s="162">
        <v>16</v>
      </c>
      <c r="B326" s="162" t="s">
        <v>377</v>
      </c>
      <c r="C326" s="162" t="s">
        <v>40</v>
      </c>
      <c r="D326" s="162" t="s">
        <v>41</v>
      </c>
      <c r="E326" s="162" t="s">
        <v>42</v>
      </c>
      <c r="F326" s="162"/>
      <c r="G326" s="42"/>
      <c r="H326" s="42" t="s">
        <v>939</v>
      </c>
    </row>
    <row r="327" spans="1:8" ht="105" x14ac:dyDescent="0.25">
      <c r="A327" s="162">
        <v>16</v>
      </c>
      <c r="B327" s="162" t="s">
        <v>378</v>
      </c>
      <c r="C327" s="162" t="s">
        <v>55</v>
      </c>
      <c r="D327" s="162" t="s">
        <v>56</v>
      </c>
      <c r="E327" s="162" t="s">
        <v>242</v>
      </c>
      <c r="F327" s="162" t="s">
        <v>5</v>
      </c>
      <c r="G327" s="42"/>
      <c r="H327" s="42" t="s">
        <v>914</v>
      </c>
    </row>
    <row r="328" spans="1:8" ht="45" x14ac:dyDescent="0.25">
      <c r="A328" s="162">
        <v>16</v>
      </c>
      <c r="B328" s="162" t="s">
        <v>379</v>
      </c>
      <c r="C328" s="162" t="s">
        <v>28</v>
      </c>
      <c r="D328" s="162" t="s">
        <v>29</v>
      </c>
      <c r="E328" s="162" t="s">
        <v>30</v>
      </c>
      <c r="F328" s="162" t="s">
        <v>73</v>
      </c>
      <c r="G328" s="42"/>
      <c r="H328" s="42" t="s">
        <v>907</v>
      </c>
    </row>
    <row r="329" spans="1:8" ht="45" x14ac:dyDescent="0.25">
      <c r="A329" s="162">
        <v>16</v>
      </c>
      <c r="B329" s="162" t="s">
        <v>731</v>
      </c>
      <c r="C329" s="162" t="s">
        <v>55</v>
      </c>
      <c r="D329" s="162" t="s">
        <v>56</v>
      </c>
      <c r="E329" s="162" t="s">
        <v>224</v>
      </c>
      <c r="F329" s="162" t="s">
        <v>5</v>
      </c>
      <c r="G329" s="42"/>
      <c r="H329" s="42" t="s">
        <v>913</v>
      </c>
    </row>
    <row r="330" spans="1:8" ht="30" x14ac:dyDescent="0.25">
      <c r="A330" s="162">
        <v>16</v>
      </c>
      <c r="B330" s="162" t="s">
        <v>749</v>
      </c>
      <c r="C330" s="162" t="s">
        <v>55</v>
      </c>
      <c r="D330" s="162" t="s">
        <v>56</v>
      </c>
      <c r="E330" s="162" t="s">
        <v>4</v>
      </c>
      <c r="F330" s="162"/>
      <c r="G330" s="42"/>
      <c r="H330" s="42" t="s">
        <v>940</v>
      </c>
    </row>
    <row r="331" spans="1:8" ht="45" x14ac:dyDescent="0.25">
      <c r="A331" s="162">
        <v>16</v>
      </c>
      <c r="B331" s="162" t="s">
        <v>380</v>
      </c>
      <c r="C331" s="162" t="s">
        <v>89</v>
      </c>
      <c r="D331" s="162" t="s">
        <v>90</v>
      </c>
      <c r="E331" s="162" t="s">
        <v>770</v>
      </c>
      <c r="F331" s="162"/>
      <c r="G331" s="42"/>
      <c r="H331" s="42" t="s">
        <v>908</v>
      </c>
    </row>
    <row r="332" spans="1:8" ht="30" x14ac:dyDescent="0.25">
      <c r="A332" s="162">
        <v>17</v>
      </c>
      <c r="B332" s="162" t="s">
        <v>381</v>
      </c>
      <c r="C332" s="162" t="s">
        <v>36</v>
      </c>
      <c r="D332" s="162" t="s">
        <v>38</v>
      </c>
      <c r="E332" s="162" t="s">
        <v>3</v>
      </c>
      <c r="F332" s="162" t="s">
        <v>7</v>
      </c>
      <c r="G332" s="42"/>
      <c r="H332" s="42" t="s">
        <v>906</v>
      </c>
    </row>
    <row r="333" spans="1:8" ht="45" x14ac:dyDescent="0.25">
      <c r="A333" s="162">
        <v>17</v>
      </c>
      <c r="B333" s="162" t="s">
        <v>382</v>
      </c>
      <c r="C333" s="162" t="s">
        <v>258</v>
      </c>
      <c r="D333" s="162" t="s">
        <v>24</v>
      </c>
      <c r="E333" s="162" t="s">
        <v>96</v>
      </c>
      <c r="F333" s="162" t="s">
        <v>769</v>
      </c>
      <c r="G333" s="42"/>
      <c r="H333" s="42" t="s">
        <v>911</v>
      </c>
    </row>
    <row r="334" spans="1:8" ht="30" x14ac:dyDescent="0.25">
      <c r="A334" s="162">
        <v>17</v>
      </c>
      <c r="B334" s="162" t="s">
        <v>58</v>
      </c>
      <c r="C334" s="162"/>
      <c r="D334" s="162" t="s">
        <v>51</v>
      </c>
      <c r="E334" s="162" t="s">
        <v>811</v>
      </c>
      <c r="F334" s="162"/>
      <c r="G334" s="163" t="s">
        <v>760</v>
      </c>
      <c r="H334" s="42"/>
    </row>
    <row r="335" spans="1:8" ht="48" x14ac:dyDescent="0.25">
      <c r="A335" s="162">
        <v>17</v>
      </c>
      <c r="B335" s="162" t="s">
        <v>383</v>
      </c>
      <c r="C335" s="162" t="s">
        <v>258</v>
      </c>
      <c r="D335" s="162" t="s">
        <v>24</v>
      </c>
      <c r="E335" s="162" t="s">
        <v>96</v>
      </c>
      <c r="F335" s="162" t="s">
        <v>33</v>
      </c>
      <c r="G335" s="162" t="s">
        <v>764</v>
      </c>
      <c r="H335" s="162" t="s">
        <v>906</v>
      </c>
    </row>
    <row r="336" spans="1:8" ht="30" x14ac:dyDescent="0.25">
      <c r="A336" s="162">
        <v>17</v>
      </c>
      <c r="B336" s="162" t="s">
        <v>384</v>
      </c>
      <c r="C336" s="162"/>
      <c r="D336" s="162" t="s">
        <v>51</v>
      </c>
      <c r="E336" s="162" t="s">
        <v>811</v>
      </c>
      <c r="F336" s="162"/>
      <c r="G336" s="163" t="s">
        <v>760</v>
      </c>
      <c r="H336" s="42"/>
    </row>
    <row r="337" spans="1:8" ht="30" x14ac:dyDescent="0.25">
      <c r="A337" s="162">
        <v>17</v>
      </c>
      <c r="B337" s="162" t="s">
        <v>385</v>
      </c>
      <c r="C337" s="162" t="s">
        <v>55</v>
      </c>
      <c r="D337" s="162" t="s">
        <v>56</v>
      </c>
      <c r="E337" s="162" t="s">
        <v>57</v>
      </c>
      <c r="F337" s="162" t="s">
        <v>10</v>
      </c>
      <c r="G337" s="42"/>
      <c r="H337" s="42" t="s">
        <v>914</v>
      </c>
    </row>
    <row r="338" spans="1:8" ht="60" x14ac:dyDescent="0.25">
      <c r="A338" s="162">
        <v>17</v>
      </c>
      <c r="B338" s="162" t="s">
        <v>386</v>
      </c>
      <c r="C338" s="162" t="s">
        <v>28</v>
      </c>
      <c r="D338" s="162" t="s">
        <v>29</v>
      </c>
      <c r="E338" s="162" t="s">
        <v>30</v>
      </c>
      <c r="F338" s="162" t="s">
        <v>31</v>
      </c>
      <c r="G338" s="42"/>
      <c r="H338" s="42" t="s">
        <v>931</v>
      </c>
    </row>
    <row r="339" spans="1:8" ht="30" x14ac:dyDescent="0.25">
      <c r="A339" s="162">
        <v>17</v>
      </c>
      <c r="B339" s="162" t="s">
        <v>387</v>
      </c>
      <c r="C339" s="162" t="s">
        <v>258</v>
      </c>
      <c r="D339" s="162" t="s">
        <v>24</v>
      </c>
      <c r="E339" s="162" t="s">
        <v>96</v>
      </c>
      <c r="F339" s="162" t="s">
        <v>33</v>
      </c>
      <c r="G339" s="42"/>
      <c r="H339" s="42" t="s">
        <v>919</v>
      </c>
    </row>
    <row r="340" spans="1:8" ht="119.25" customHeight="1" x14ac:dyDescent="0.25">
      <c r="A340" s="162">
        <v>17</v>
      </c>
      <c r="B340" s="162" t="s">
        <v>388</v>
      </c>
      <c r="C340" s="162"/>
      <c r="D340" s="162" t="s">
        <v>51</v>
      </c>
      <c r="E340" s="162" t="s">
        <v>812</v>
      </c>
      <c r="F340" s="162" t="s">
        <v>821</v>
      </c>
      <c r="G340" s="163" t="s">
        <v>760</v>
      </c>
      <c r="H340" s="42"/>
    </row>
    <row r="341" spans="1:8" ht="90" x14ac:dyDescent="0.25">
      <c r="A341" s="162">
        <v>17</v>
      </c>
      <c r="B341" s="162" t="s">
        <v>389</v>
      </c>
      <c r="C341" s="162" t="s">
        <v>36</v>
      </c>
      <c r="D341" s="162" t="s">
        <v>38</v>
      </c>
      <c r="E341" s="162" t="s">
        <v>3</v>
      </c>
      <c r="F341" s="162" t="s">
        <v>8</v>
      </c>
      <c r="G341" s="42"/>
      <c r="H341" s="42" t="s">
        <v>919</v>
      </c>
    </row>
    <row r="342" spans="1:8" ht="30" x14ac:dyDescent="0.25">
      <c r="A342" s="162">
        <v>17</v>
      </c>
      <c r="B342" s="162" t="s">
        <v>390</v>
      </c>
      <c r="C342" s="162" t="s">
        <v>55</v>
      </c>
      <c r="D342" s="162" t="s">
        <v>56</v>
      </c>
      <c r="E342" s="162" t="s">
        <v>11</v>
      </c>
      <c r="F342" s="162" t="s">
        <v>5</v>
      </c>
      <c r="G342" s="42"/>
      <c r="H342" s="42" t="s">
        <v>933</v>
      </c>
    </row>
    <row r="343" spans="1:8" ht="45" x14ac:dyDescent="0.25">
      <c r="A343" s="162">
        <v>17</v>
      </c>
      <c r="B343" s="162" t="s">
        <v>391</v>
      </c>
      <c r="C343" s="162" t="s">
        <v>85</v>
      </c>
      <c r="D343" s="162" t="s">
        <v>56</v>
      </c>
      <c r="E343" s="162" t="s">
        <v>9</v>
      </c>
      <c r="F343" s="162" t="s">
        <v>2</v>
      </c>
      <c r="G343" s="42"/>
      <c r="H343" s="42" t="s">
        <v>914</v>
      </c>
    </row>
    <row r="344" spans="1:8" ht="30" x14ac:dyDescent="0.25">
      <c r="A344" s="162">
        <v>17</v>
      </c>
      <c r="B344" s="162" t="s">
        <v>392</v>
      </c>
      <c r="C344" s="162"/>
      <c r="D344" s="162" t="s">
        <v>51</v>
      </c>
      <c r="E344" s="162" t="s">
        <v>811</v>
      </c>
      <c r="F344" s="162"/>
      <c r="G344" s="163" t="s">
        <v>761</v>
      </c>
      <c r="H344" s="42"/>
    </row>
    <row r="345" spans="1:8" ht="30" x14ac:dyDescent="0.25">
      <c r="A345" s="162">
        <v>17</v>
      </c>
      <c r="B345" s="182" t="s">
        <v>393</v>
      </c>
      <c r="C345" s="182" t="s">
        <v>55</v>
      </c>
      <c r="D345" s="182" t="s">
        <v>56</v>
      </c>
      <c r="E345" s="162" t="s">
        <v>4</v>
      </c>
      <c r="F345" s="182" t="s">
        <v>10</v>
      </c>
      <c r="G345" s="42"/>
      <c r="H345" s="42" t="s">
        <v>928</v>
      </c>
    </row>
    <row r="346" spans="1:8" x14ac:dyDescent="0.25">
      <c r="A346" s="162">
        <v>17</v>
      </c>
      <c r="B346" s="182"/>
      <c r="C346" s="182"/>
      <c r="D346" s="182"/>
      <c r="E346" s="162" t="s">
        <v>9</v>
      </c>
      <c r="F346" s="182"/>
      <c r="G346" s="42"/>
      <c r="H346" s="42"/>
    </row>
    <row r="347" spans="1:8" ht="30" x14ac:dyDescent="0.25">
      <c r="A347" s="162">
        <v>18</v>
      </c>
      <c r="B347" s="162" t="s">
        <v>394</v>
      </c>
      <c r="C347" s="162" t="s">
        <v>23</v>
      </c>
      <c r="D347" s="162" t="s">
        <v>24</v>
      </c>
      <c r="E347" s="162" t="s">
        <v>96</v>
      </c>
      <c r="F347" s="162" t="s">
        <v>26</v>
      </c>
      <c r="G347" s="42"/>
      <c r="H347" s="42" t="s">
        <v>906</v>
      </c>
    </row>
    <row r="348" spans="1:8" ht="30" x14ac:dyDescent="0.25">
      <c r="A348" s="162">
        <v>18</v>
      </c>
      <c r="B348" s="162" t="s">
        <v>395</v>
      </c>
      <c r="C348" s="162" t="s">
        <v>55</v>
      </c>
      <c r="D348" s="162" t="s">
        <v>56</v>
      </c>
      <c r="E348" s="162" t="s">
        <v>4</v>
      </c>
      <c r="F348" s="162"/>
      <c r="G348" s="42"/>
      <c r="H348" s="42" t="s">
        <v>913</v>
      </c>
    </row>
    <row r="349" spans="1:8" ht="45" x14ac:dyDescent="0.25">
      <c r="A349" s="162">
        <v>18</v>
      </c>
      <c r="B349" s="162" t="s">
        <v>396</v>
      </c>
      <c r="C349" s="162" t="s">
        <v>55</v>
      </c>
      <c r="D349" s="162" t="s">
        <v>56</v>
      </c>
      <c r="E349" s="162" t="s">
        <v>57</v>
      </c>
      <c r="F349" s="162" t="s">
        <v>10</v>
      </c>
      <c r="G349" s="162" t="s">
        <v>784</v>
      </c>
      <c r="H349" s="162" t="s">
        <v>912</v>
      </c>
    </row>
    <row r="350" spans="1:8" ht="45" x14ac:dyDescent="0.25">
      <c r="A350" s="162">
        <v>18</v>
      </c>
      <c r="B350" s="162" t="s">
        <v>397</v>
      </c>
      <c r="C350" s="162" t="s">
        <v>55</v>
      </c>
      <c r="D350" s="162" t="s">
        <v>56</v>
      </c>
      <c r="E350" s="162" t="s">
        <v>1</v>
      </c>
      <c r="F350" s="162" t="s">
        <v>2</v>
      </c>
      <c r="G350" s="42"/>
      <c r="H350" s="42" t="s">
        <v>933</v>
      </c>
    </row>
    <row r="351" spans="1:8" ht="45" x14ac:dyDescent="0.25">
      <c r="A351" s="162">
        <v>18</v>
      </c>
      <c r="B351" s="162" t="s">
        <v>398</v>
      </c>
      <c r="C351" s="162" t="s">
        <v>55</v>
      </c>
      <c r="D351" s="162" t="s">
        <v>56</v>
      </c>
      <c r="E351" s="162" t="s">
        <v>57</v>
      </c>
      <c r="F351" s="162" t="s">
        <v>10</v>
      </c>
      <c r="G351" s="42"/>
      <c r="H351" s="42" t="s">
        <v>933</v>
      </c>
    </row>
    <row r="352" spans="1:8" ht="30" x14ac:dyDescent="0.25">
      <c r="A352" s="162">
        <v>18</v>
      </c>
      <c r="B352" s="162" t="s">
        <v>399</v>
      </c>
      <c r="C352" s="162" t="s">
        <v>55</v>
      </c>
      <c r="D352" s="162" t="s">
        <v>56</v>
      </c>
      <c r="E352" s="162" t="s">
        <v>4</v>
      </c>
      <c r="F352" s="162"/>
      <c r="G352" s="42"/>
      <c r="H352" s="42" t="s">
        <v>920</v>
      </c>
    </row>
    <row r="353" spans="1:8" ht="45" x14ac:dyDescent="0.25">
      <c r="A353" s="162">
        <v>18</v>
      </c>
      <c r="B353" s="162" t="s">
        <v>400</v>
      </c>
      <c r="C353" s="162" t="s">
        <v>89</v>
      </c>
      <c r="D353" s="162" t="s">
        <v>90</v>
      </c>
      <c r="E353" s="162" t="s">
        <v>770</v>
      </c>
      <c r="F353" s="162"/>
      <c r="G353" s="42"/>
      <c r="H353" s="42" t="s">
        <v>908</v>
      </c>
    </row>
    <row r="354" spans="1:8" ht="45" x14ac:dyDescent="0.25">
      <c r="A354" s="162">
        <v>18</v>
      </c>
      <c r="B354" s="162" t="s">
        <v>401</v>
      </c>
      <c r="C354" s="162" t="s">
        <v>23</v>
      </c>
      <c r="D354" s="162" t="s">
        <v>24</v>
      </c>
      <c r="E354" s="162" t="s">
        <v>96</v>
      </c>
      <c r="F354" s="162" t="s">
        <v>33</v>
      </c>
      <c r="G354" s="42"/>
      <c r="H354" s="42" t="s">
        <v>906</v>
      </c>
    </row>
    <row r="355" spans="1:8" ht="45" x14ac:dyDescent="0.25">
      <c r="A355" s="162">
        <v>18</v>
      </c>
      <c r="B355" s="162" t="s">
        <v>402</v>
      </c>
      <c r="C355" s="162" t="s">
        <v>258</v>
      </c>
      <c r="D355" s="162" t="s">
        <v>24</v>
      </c>
      <c r="E355" s="162" t="s">
        <v>96</v>
      </c>
      <c r="F355" s="162" t="s">
        <v>33</v>
      </c>
      <c r="G355" s="42"/>
      <c r="H355" s="42" t="s">
        <v>916</v>
      </c>
    </row>
    <row r="356" spans="1:8" ht="30" x14ac:dyDescent="0.25">
      <c r="A356" s="162">
        <v>18</v>
      </c>
      <c r="B356" s="162" t="s">
        <v>403</v>
      </c>
      <c r="C356" s="162"/>
      <c r="D356" s="162" t="s">
        <v>51</v>
      </c>
      <c r="E356" s="162" t="s">
        <v>811</v>
      </c>
      <c r="F356" s="162"/>
      <c r="G356" s="163" t="s">
        <v>760</v>
      </c>
      <c r="H356" s="42"/>
    </row>
    <row r="357" spans="1:8" ht="60" x14ac:dyDescent="0.25">
      <c r="A357" s="162">
        <v>18</v>
      </c>
      <c r="B357" s="162" t="s">
        <v>732</v>
      </c>
      <c r="C357" s="162" t="s">
        <v>36</v>
      </c>
      <c r="D357" s="162" t="s">
        <v>38</v>
      </c>
      <c r="E357" s="162" t="s">
        <v>3</v>
      </c>
      <c r="F357" s="162" t="s">
        <v>8</v>
      </c>
      <c r="G357" s="162" t="s">
        <v>756</v>
      </c>
      <c r="H357" s="162" t="s">
        <v>916</v>
      </c>
    </row>
    <row r="358" spans="1:8" ht="30" x14ac:dyDescent="0.25">
      <c r="A358" s="162">
        <v>18</v>
      </c>
      <c r="B358" s="162" t="s">
        <v>948</v>
      </c>
      <c r="C358" s="162" t="s">
        <v>85</v>
      </c>
      <c r="D358" s="162" t="s">
        <v>56</v>
      </c>
      <c r="E358" s="162" t="s">
        <v>9</v>
      </c>
      <c r="F358" s="162" t="s">
        <v>10</v>
      </c>
      <c r="G358" s="42"/>
      <c r="H358" s="42" t="s">
        <v>914</v>
      </c>
    </row>
    <row r="359" spans="1:8" ht="30" x14ac:dyDescent="0.25">
      <c r="A359" s="162">
        <v>18</v>
      </c>
      <c r="B359" s="162" t="s">
        <v>404</v>
      </c>
      <c r="C359" s="162"/>
      <c r="D359" s="162" t="s">
        <v>51</v>
      </c>
      <c r="E359" s="162" t="s">
        <v>822</v>
      </c>
      <c r="F359" s="162" t="s">
        <v>821</v>
      </c>
      <c r="G359" s="163" t="s">
        <v>761</v>
      </c>
      <c r="H359" s="42"/>
    </row>
    <row r="360" spans="1:8" x14ac:dyDescent="0.25">
      <c r="A360" s="162">
        <v>18</v>
      </c>
      <c r="B360" s="162" t="s">
        <v>405</v>
      </c>
      <c r="C360" s="162" t="s">
        <v>55</v>
      </c>
      <c r="D360" s="162" t="s">
        <v>56</v>
      </c>
      <c r="E360" s="162" t="s">
        <v>1</v>
      </c>
      <c r="F360" s="162" t="s">
        <v>10</v>
      </c>
      <c r="G360" s="42"/>
      <c r="H360" s="42" t="s">
        <v>914</v>
      </c>
    </row>
    <row r="361" spans="1:8" ht="45" x14ac:dyDescent="0.25">
      <c r="A361" s="162">
        <v>18</v>
      </c>
      <c r="B361" s="162" t="s">
        <v>406</v>
      </c>
      <c r="C361" s="162" t="s">
        <v>55</v>
      </c>
      <c r="D361" s="162" t="s">
        <v>56</v>
      </c>
      <c r="E361" s="162" t="s">
        <v>57</v>
      </c>
      <c r="F361" s="162" t="s">
        <v>10</v>
      </c>
      <c r="G361" s="42"/>
      <c r="H361" s="42" t="s">
        <v>914</v>
      </c>
    </row>
    <row r="362" spans="1:8" ht="30" x14ac:dyDescent="0.25">
      <c r="A362" s="162">
        <v>18</v>
      </c>
      <c r="B362" s="162" t="s">
        <v>407</v>
      </c>
      <c r="C362" s="162" t="s">
        <v>64</v>
      </c>
      <c r="D362" s="162" t="s">
        <v>65</v>
      </c>
      <c r="E362" s="162"/>
      <c r="F362" s="162" t="s">
        <v>66</v>
      </c>
      <c r="G362" s="42"/>
      <c r="H362" s="42" t="s">
        <v>925</v>
      </c>
    </row>
    <row r="363" spans="1:8" ht="45" x14ac:dyDescent="0.25">
      <c r="A363" s="162">
        <v>18</v>
      </c>
      <c r="B363" s="162" t="s">
        <v>408</v>
      </c>
      <c r="C363" s="162" t="s">
        <v>36</v>
      </c>
      <c r="D363" s="162" t="s">
        <v>38</v>
      </c>
      <c r="E363" s="162" t="s">
        <v>3</v>
      </c>
      <c r="F363" s="162" t="s">
        <v>26</v>
      </c>
      <c r="G363" s="162" t="s">
        <v>794</v>
      </c>
      <c r="H363" s="162" t="s">
        <v>922</v>
      </c>
    </row>
    <row r="364" spans="1:8" ht="30" x14ac:dyDescent="0.25">
      <c r="A364" s="162">
        <v>18</v>
      </c>
      <c r="B364" s="162" t="s">
        <v>409</v>
      </c>
      <c r="C364" s="162" t="s">
        <v>55</v>
      </c>
      <c r="D364" s="162" t="s">
        <v>56</v>
      </c>
      <c r="E364" s="162" t="s">
        <v>1</v>
      </c>
      <c r="F364" s="162" t="s">
        <v>2</v>
      </c>
      <c r="G364" s="42"/>
      <c r="H364" s="42" t="s">
        <v>913</v>
      </c>
    </row>
    <row r="365" spans="1:8" ht="30" x14ac:dyDescent="0.25">
      <c r="A365" s="162">
        <v>18</v>
      </c>
      <c r="B365" s="162" t="s">
        <v>410</v>
      </c>
      <c r="C365" s="162" t="s">
        <v>40</v>
      </c>
      <c r="D365" s="162" t="s">
        <v>41</v>
      </c>
      <c r="E365" s="162" t="s">
        <v>42</v>
      </c>
      <c r="F365" s="162"/>
      <c r="G365" s="42"/>
      <c r="H365" s="42" t="s">
        <v>943</v>
      </c>
    </row>
    <row r="366" spans="1:8" ht="45" x14ac:dyDescent="0.25">
      <c r="A366" s="162">
        <v>18</v>
      </c>
      <c r="B366" s="162" t="s">
        <v>411</v>
      </c>
      <c r="C366" s="162" t="s">
        <v>36</v>
      </c>
      <c r="D366" s="162" t="s">
        <v>37</v>
      </c>
      <c r="E366" s="162" t="s">
        <v>770</v>
      </c>
      <c r="F366" s="162"/>
      <c r="G366" s="42"/>
      <c r="H366" s="42" t="s">
        <v>908</v>
      </c>
    </row>
    <row r="367" spans="1:8" ht="30" x14ac:dyDescent="0.25">
      <c r="A367" s="162">
        <v>18</v>
      </c>
      <c r="B367" s="182" t="s">
        <v>412</v>
      </c>
      <c r="C367" s="182" t="s">
        <v>49</v>
      </c>
      <c r="D367" s="182" t="s">
        <v>37</v>
      </c>
      <c r="E367" s="162" t="s">
        <v>12</v>
      </c>
      <c r="F367" s="182"/>
      <c r="G367" s="42"/>
      <c r="H367" s="42" t="s">
        <v>908</v>
      </c>
    </row>
    <row r="368" spans="1:8" x14ac:dyDescent="0.25">
      <c r="A368" s="162">
        <v>18</v>
      </c>
      <c r="B368" s="182"/>
      <c r="C368" s="182"/>
      <c r="D368" s="182"/>
      <c r="E368" s="162"/>
      <c r="F368" s="182"/>
      <c r="G368" s="42"/>
      <c r="H368" s="42"/>
    </row>
    <row r="369" spans="1:8" ht="75" x14ac:dyDescent="0.25">
      <c r="A369" s="162">
        <v>18</v>
      </c>
      <c r="B369" s="162" t="s">
        <v>414</v>
      </c>
      <c r="C369" s="162"/>
      <c r="D369" s="162" t="s">
        <v>51</v>
      </c>
      <c r="E369" s="162" t="s">
        <v>811</v>
      </c>
      <c r="F369" s="162"/>
      <c r="G369" s="163" t="s">
        <v>798</v>
      </c>
      <c r="H369" s="42"/>
    </row>
    <row r="370" spans="1:8" ht="45" x14ac:dyDescent="0.25">
      <c r="A370" s="162">
        <v>18</v>
      </c>
      <c r="B370" s="162" t="s">
        <v>415</v>
      </c>
      <c r="C370" s="162" t="s">
        <v>89</v>
      </c>
      <c r="D370" s="162" t="s">
        <v>90</v>
      </c>
      <c r="E370" s="162" t="s">
        <v>770</v>
      </c>
      <c r="F370" s="162"/>
      <c r="G370" s="42"/>
      <c r="H370" s="42" t="s">
        <v>908</v>
      </c>
    </row>
    <row r="371" spans="1:8" ht="45" x14ac:dyDescent="0.25">
      <c r="A371" s="162">
        <v>19</v>
      </c>
      <c r="B371" s="162" t="s">
        <v>416</v>
      </c>
      <c r="C371" s="162" t="s">
        <v>89</v>
      </c>
      <c r="D371" s="162" t="s">
        <v>90</v>
      </c>
      <c r="E371" s="162" t="s">
        <v>770</v>
      </c>
      <c r="F371" s="162"/>
      <c r="G371" s="42"/>
      <c r="H371" s="42" t="s">
        <v>908</v>
      </c>
    </row>
    <row r="372" spans="1:8" ht="60" x14ac:dyDescent="0.25">
      <c r="A372" s="162">
        <v>19</v>
      </c>
      <c r="B372" s="162" t="s">
        <v>417</v>
      </c>
      <c r="C372" s="162" t="s">
        <v>55</v>
      </c>
      <c r="D372" s="162" t="s">
        <v>56</v>
      </c>
      <c r="E372" s="162" t="s">
        <v>11</v>
      </c>
      <c r="F372" s="162" t="s">
        <v>5</v>
      </c>
      <c r="G372" s="42"/>
      <c r="H372" s="42" t="s">
        <v>915</v>
      </c>
    </row>
    <row r="373" spans="1:8" ht="45" x14ac:dyDescent="0.25">
      <c r="A373" s="162">
        <v>19</v>
      </c>
      <c r="B373" s="181" t="s">
        <v>418</v>
      </c>
      <c r="C373" s="162" t="s">
        <v>89</v>
      </c>
      <c r="D373" s="162" t="s">
        <v>90</v>
      </c>
      <c r="E373" s="162" t="s">
        <v>770</v>
      </c>
      <c r="F373" s="162"/>
      <c r="G373" s="42"/>
      <c r="H373" s="42" t="s">
        <v>908</v>
      </c>
    </row>
    <row r="374" spans="1:8" ht="30" x14ac:dyDescent="0.25">
      <c r="A374" s="162">
        <v>19</v>
      </c>
      <c r="B374" s="162" t="s">
        <v>419</v>
      </c>
      <c r="C374" s="182" t="s">
        <v>55</v>
      </c>
      <c r="D374" s="182" t="s">
        <v>56</v>
      </c>
      <c r="E374" s="182" t="s">
        <v>1</v>
      </c>
      <c r="F374" s="182" t="s">
        <v>5</v>
      </c>
      <c r="G374" s="42"/>
      <c r="H374" s="42" t="s">
        <v>914</v>
      </c>
    </row>
    <row r="375" spans="1:8" ht="30" x14ac:dyDescent="0.25">
      <c r="A375" s="162">
        <v>19</v>
      </c>
      <c r="B375" s="162" t="s">
        <v>420</v>
      </c>
      <c r="C375" s="182"/>
      <c r="D375" s="182"/>
      <c r="E375" s="182"/>
      <c r="F375" s="182"/>
      <c r="G375" s="42"/>
      <c r="H375" s="42"/>
    </row>
    <row r="376" spans="1:8" ht="255" x14ac:dyDescent="0.25">
      <c r="A376" s="162">
        <v>19</v>
      </c>
      <c r="B376" s="162" t="s">
        <v>421</v>
      </c>
      <c r="C376" s="162" t="s">
        <v>49</v>
      </c>
      <c r="D376" s="162" t="s">
        <v>37</v>
      </c>
      <c r="E376" s="162" t="s">
        <v>770</v>
      </c>
      <c r="F376" s="162"/>
      <c r="G376" s="186" t="s">
        <v>759</v>
      </c>
      <c r="H376" s="42" t="s">
        <v>916</v>
      </c>
    </row>
    <row r="377" spans="1:8" ht="105" x14ac:dyDescent="0.25">
      <c r="A377" s="162">
        <v>19</v>
      </c>
      <c r="B377" s="162" t="s">
        <v>422</v>
      </c>
      <c r="C377" s="162"/>
      <c r="D377" s="162" t="s">
        <v>51</v>
      </c>
      <c r="E377" s="162" t="s">
        <v>811</v>
      </c>
      <c r="F377" s="162"/>
      <c r="G377" s="163" t="s">
        <v>800</v>
      </c>
      <c r="H377" s="42"/>
    </row>
    <row r="378" spans="1:8" ht="30" x14ac:dyDescent="0.25">
      <c r="A378" s="162">
        <v>19</v>
      </c>
      <c r="B378" s="162" t="s">
        <v>423</v>
      </c>
      <c r="C378" s="162" t="s">
        <v>55</v>
      </c>
      <c r="D378" s="162" t="s">
        <v>56</v>
      </c>
      <c r="E378" s="162" t="s">
        <v>57</v>
      </c>
      <c r="F378" s="162" t="s">
        <v>5</v>
      </c>
      <c r="G378" s="42"/>
      <c r="H378" s="42" t="s">
        <v>920</v>
      </c>
    </row>
    <row r="379" spans="1:8" ht="30" x14ac:dyDescent="0.25">
      <c r="A379" s="162">
        <v>19</v>
      </c>
      <c r="B379" s="162" t="s">
        <v>424</v>
      </c>
      <c r="C379" s="162" t="s">
        <v>28</v>
      </c>
      <c r="D379" s="162" t="s">
        <v>29</v>
      </c>
      <c r="E379" s="162" t="s">
        <v>30</v>
      </c>
      <c r="F379" s="162" t="s">
        <v>31</v>
      </c>
      <c r="G379" s="42"/>
      <c r="H379" s="42" t="s">
        <v>907</v>
      </c>
    </row>
    <row r="380" spans="1:8" ht="63" x14ac:dyDescent="0.25">
      <c r="A380" s="162">
        <v>20</v>
      </c>
      <c r="B380" s="162" t="s">
        <v>425</v>
      </c>
      <c r="C380" s="162" t="s">
        <v>426</v>
      </c>
      <c r="D380" s="162" t="s">
        <v>427</v>
      </c>
      <c r="E380" s="162" t="s">
        <v>428</v>
      </c>
      <c r="F380" s="162" t="s">
        <v>429</v>
      </c>
      <c r="G380" s="42"/>
      <c r="H380" s="42" t="s">
        <v>947</v>
      </c>
    </row>
    <row r="381" spans="1:8" ht="75" x14ac:dyDescent="0.25">
      <c r="A381" s="162">
        <v>20</v>
      </c>
      <c r="B381" s="162" t="s">
        <v>430</v>
      </c>
      <c r="C381" s="162"/>
      <c r="D381" s="162" t="s">
        <v>51</v>
      </c>
      <c r="E381" s="162" t="s">
        <v>811</v>
      </c>
      <c r="F381" s="162"/>
      <c r="G381" s="163" t="s">
        <v>793</v>
      </c>
      <c r="H381" s="42"/>
    </row>
    <row r="382" spans="1:8" ht="30" x14ac:dyDescent="0.25">
      <c r="A382" s="162">
        <v>20</v>
      </c>
      <c r="B382" s="162" t="s">
        <v>431</v>
      </c>
      <c r="C382" s="162" t="s">
        <v>55</v>
      </c>
      <c r="D382" s="162" t="s">
        <v>56</v>
      </c>
      <c r="E382" s="162" t="s">
        <v>11</v>
      </c>
      <c r="F382" s="162" t="s">
        <v>10</v>
      </c>
      <c r="G382" s="42"/>
      <c r="H382" s="42" t="s">
        <v>933</v>
      </c>
    </row>
    <row r="383" spans="1:8" ht="30" x14ac:dyDescent="0.25">
      <c r="A383" s="162">
        <v>20</v>
      </c>
      <c r="B383" s="162" t="s">
        <v>432</v>
      </c>
      <c r="C383" s="162" t="s">
        <v>36</v>
      </c>
      <c r="D383" s="162" t="s">
        <v>38</v>
      </c>
      <c r="E383" s="162" t="s">
        <v>3</v>
      </c>
      <c r="F383" s="162" t="s">
        <v>6</v>
      </c>
      <c r="G383" s="42"/>
      <c r="H383" s="42" t="s">
        <v>906</v>
      </c>
    </row>
    <row r="384" spans="1:8" ht="30" x14ac:dyDescent="0.25">
      <c r="A384" s="162">
        <v>20</v>
      </c>
      <c r="B384" s="162" t="s">
        <v>318</v>
      </c>
      <c r="C384" s="162" t="s">
        <v>55</v>
      </c>
      <c r="D384" s="162" t="s">
        <v>56</v>
      </c>
      <c r="E384" s="162" t="s">
        <v>4</v>
      </c>
      <c r="F384" s="162"/>
      <c r="G384" s="42"/>
      <c r="H384" s="42" t="s">
        <v>913</v>
      </c>
    </row>
    <row r="385" spans="1:8" ht="30" x14ac:dyDescent="0.25">
      <c r="A385" s="162">
        <v>20</v>
      </c>
      <c r="B385" s="162" t="s">
        <v>433</v>
      </c>
      <c r="C385" s="162" t="s">
        <v>55</v>
      </c>
      <c r="D385" s="162" t="s">
        <v>56</v>
      </c>
      <c r="E385" s="162" t="s">
        <v>57</v>
      </c>
      <c r="F385" s="162" t="s">
        <v>5</v>
      </c>
      <c r="G385" s="42"/>
      <c r="H385" s="42" t="s">
        <v>920</v>
      </c>
    </row>
    <row r="386" spans="1:8" ht="60" x14ac:dyDescent="0.25">
      <c r="A386" s="162">
        <v>20</v>
      </c>
      <c r="B386" s="162" t="s">
        <v>434</v>
      </c>
      <c r="C386" s="162" t="s">
        <v>28</v>
      </c>
      <c r="D386" s="162" t="s">
        <v>29</v>
      </c>
      <c r="E386" s="162" t="s">
        <v>30</v>
      </c>
      <c r="F386" s="162" t="s">
        <v>73</v>
      </c>
      <c r="G386" s="42"/>
      <c r="H386" s="42" t="s">
        <v>907</v>
      </c>
    </row>
    <row r="387" spans="1:8" ht="78" x14ac:dyDescent="0.25">
      <c r="A387" s="162">
        <v>20</v>
      </c>
      <c r="B387" s="162" t="s">
        <v>435</v>
      </c>
      <c r="C387" s="162" t="s">
        <v>36</v>
      </c>
      <c r="D387" s="162" t="s">
        <v>38</v>
      </c>
      <c r="E387" s="162" t="s">
        <v>3</v>
      </c>
      <c r="F387" s="162" t="s">
        <v>7</v>
      </c>
      <c r="G387" s="42"/>
      <c r="H387" s="42" t="s">
        <v>906</v>
      </c>
    </row>
    <row r="388" spans="1:8" ht="45" x14ac:dyDescent="0.25">
      <c r="A388" s="162">
        <v>20</v>
      </c>
      <c r="B388" s="162" t="s">
        <v>436</v>
      </c>
      <c r="C388" s="162" t="s">
        <v>36</v>
      </c>
      <c r="D388" s="162" t="s">
        <v>37</v>
      </c>
      <c r="E388" s="162" t="s">
        <v>770</v>
      </c>
      <c r="F388" s="162"/>
      <c r="G388" s="42"/>
      <c r="H388" s="42" t="s">
        <v>919</v>
      </c>
    </row>
    <row r="389" spans="1:8" ht="60" x14ac:dyDescent="0.25">
      <c r="A389" s="162">
        <v>20</v>
      </c>
      <c r="B389" s="162" t="s">
        <v>437</v>
      </c>
      <c r="C389" s="162" t="s">
        <v>36</v>
      </c>
      <c r="D389" s="162" t="s">
        <v>38</v>
      </c>
      <c r="E389" s="162" t="s">
        <v>3</v>
      </c>
      <c r="F389" s="162" t="s">
        <v>6</v>
      </c>
      <c r="G389" s="42"/>
      <c r="H389" s="42" t="s">
        <v>906</v>
      </c>
    </row>
    <row r="390" spans="1:8" ht="45" x14ac:dyDescent="0.25">
      <c r="A390" s="162">
        <v>20</v>
      </c>
      <c r="B390" s="162" t="s">
        <v>438</v>
      </c>
      <c r="C390" s="162" t="s">
        <v>23</v>
      </c>
      <c r="D390" s="162" t="s">
        <v>24</v>
      </c>
      <c r="E390" s="162" t="s">
        <v>96</v>
      </c>
      <c r="F390" s="162" t="s">
        <v>33</v>
      </c>
      <c r="G390" s="42"/>
      <c r="H390" s="42" t="s">
        <v>911</v>
      </c>
    </row>
    <row r="391" spans="1:8" ht="48" x14ac:dyDescent="0.25">
      <c r="A391" s="162">
        <v>20</v>
      </c>
      <c r="B391" s="162" t="s">
        <v>439</v>
      </c>
      <c r="C391" s="162" t="s">
        <v>36</v>
      </c>
      <c r="D391" s="162" t="s">
        <v>37</v>
      </c>
      <c r="E391" s="162" t="s">
        <v>770</v>
      </c>
      <c r="F391" s="162"/>
      <c r="G391" s="42"/>
      <c r="H391" s="42" t="s">
        <v>908</v>
      </c>
    </row>
    <row r="392" spans="1:8" ht="60" x14ac:dyDescent="0.25">
      <c r="A392" s="162">
        <v>20</v>
      </c>
      <c r="B392" s="162" t="s">
        <v>440</v>
      </c>
      <c r="C392" s="162" t="s">
        <v>28</v>
      </c>
      <c r="D392" s="162" t="s">
        <v>29</v>
      </c>
      <c r="E392" s="162" t="s">
        <v>30</v>
      </c>
      <c r="F392" s="162" t="s">
        <v>31</v>
      </c>
      <c r="G392" s="42"/>
      <c r="H392" s="42" t="s">
        <v>923</v>
      </c>
    </row>
    <row r="393" spans="1:8" ht="30" x14ac:dyDescent="0.25">
      <c r="A393" s="162">
        <v>20</v>
      </c>
      <c r="B393" s="162" t="s">
        <v>441</v>
      </c>
      <c r="C393" s="162"/>
      <c r="D393" s="162" t="s">
        <v>51</v>
      </c>
      <c r="E393" s="162" t="s">
        <v>811</v>
      </c>
      <c r="F393" s="162"/>
      <c r="G393" s="163" t="s">
        <v>761</v>
      </c>
      <c r="H393" s="42"/>
    </row>
    <row r="394" spans="1:8" ht="30" x14ac:dyDescent="0.25">
      <c r="A394" s="162">
        <v>20</v>
      </c>
      <c r="B394" s="162" t="s">
        <v>442</v>
      </c>
      <c r="C394" s="162" t="s">
        <v>85</v>
      </c>
      <c r="D394" s="162" t="s">
        <v>56</v>
      </c>
      <c r="E394" s="162" t="s">
        <v>224</v>
      </c>
      <c r="F394" s="162" t="s">
        <v>10</v>
      </c>
      <c r="G394" s="42"/>
      <c r="H394" s="42" t="s">
        <v>933</v>
      </c>
    </row>
    <row r="395" spans="1:8" ht="60" x14ac:dyDescent="0.25">
      <c r="A395" s="162">
        <v>20</v>
      </c>
      <c r="B395" s="162" t="s">
        <v>443</v>
      </c>
      <c r="C395" s="162" t="s">
        <v>55</v>
      </c>
      <c r="D395" s="162" t="s">
        <v>56</v>
      </c>
      <c r="E395" s="162" t="s">
        <v>57</v>
      </c>
      <c r="F395" s="162" t="s">
        <v>10</v>
      </c>
      <c r="G395" s="42"/>
      <c r="H395" s="42" t="s">
        <v>914</v>
      </c>
    </row>
    <row r="396" spans="1:8" ht="45" x14ac:dyDescent="0.25">
      <c r="A396" s="162">
        <v>20</v>
      </c>
      <c r="B396" s="162" t="s">
        <v>444</v>
      </c>
      <c r="C396" s="162" t="s">
        <v>55</v>
      </c>
      <c r="D396" s="162" t="s">
        <v>56</v>
      </c>
      <c r="E396" s="162" t="s">
        <v>57</v>
      </c>
      <c r="F396" s="162" t="s">
        <v>10</v>
      </c>
      <c r="G396" s="42"/>
      <c r="H396" s="42" t="s">
        <v>928</v>
      </c>
    </row>
    <row r="397" spans="1:8" ht="45" x14ac:dyDescent="0.25">
      <c r="A397" s="162">
        <v>20</v>
      </c>
      <c r="B397" s="162" t="s">
        <v>422</v>
      </c>
      <c r="C397" s="162" t="s">
        <v>55</v>
      </c>
      <c r="D397" s="162" t="s">
        <v>56</v>
      </c>
      <c r="E397" s="162" t="s">
        <v>4</v>
      </c>
      <c r="F397" s="162"/>
      <c r="G397" s="163" t="s">
        <v>784</v>
      </c>
      <c r="H397" s="42" t="s">
        <v>912</v>
      </c>
    </row>
    <row r="398" spans="1:8" ht="153" x14ac:dyDescent="0.25">
      <c r="A398" s="162">
        <v>20</v>
      </c>
      <c r="B398" s="162" t="s">
        <v>445</v>
      </c>
      <c r="C398" s="162" t="s">
        <v>214</v>
      </c>
      <c r="D398" s="162" t="s">
        <v>37</v>
      </c>
      <c r="E398" s="162" t="s">
        <v>12</v>
      </c>
      <c r="F398" s="162"/>
      <c r="G398" s="42"/>
      <c r="H398" s="42" t="s">
        <v>916</v>
      </c>
    </row>
    <row r="399" spans="1:8" ht="75" x14ac:dyDescent="0.25">
      <c r="A399" s="162">
        <v>20</v>
      </c>
      <c r="B399" s="162" t="s">
        <v>422</v>
      </c>
      <c r="C399" s="162"/>
      <c r="D399" s="162" t="s">
        <v>51</v>
      </c>
      <c r="E399" s="162" t="s">
        <v>811</v>
      </c>
      <c r="F399" s="162"/>
      <c r="G399" s="163" t="s">
        <v>798</v>
      </c>
      <c r="H399" s="42"/>
    </row>
    <row r="400" spans="1:8" ht="30" x14ac:dyDescent="0.25">
      <c r="A400" s="162">
        <v>20</v>
      </c>
      <c r="B400" s="162" t="s">
        <v>249</v>
      </c>
      <c r="C400" s="162"/>
      <c r="D400" s="162" t="s">
        <v>139</v>
      </c>
      <c r="E400" s="162" t="s">
        <v>823</v>
      </c>
      <c r="F400" s="162"/>
      <c r="G400" s="163" t="s">
        <v>760</v>
      </c>
      <c r="H400" s="42"/>
    </row>
    <row r="401" spans="1:8" ht="30" x14ac:dyDescent="0.25">
      <c r="A401" s="162">
        <v>20</v>
      </c>
      <c r="B401" s="181" t="s">
        <v>446</v>
      </c>
      <c r="C401" s="162" t="s">
        <v>36</v>
      </c>
      <c r="D401" s="162" t="s">
        <v>38</v>
      </c>
      <c r="E401" s="162" t="s">
        <v>3</v>
      </c>
      <c r="F401" s="162" t="s">
        <v>6</v>
      </c>
      <c r="G401" s="42"/>
      <c r="H401" s="42" t="s">
        <v>906</v>
      </c>
    </row>
    <row r="402" spans="1:8" ht="45" x14ac:dyDescent="0.25">
      <c r="A402" s="162">
        <v>20</v>
      </c>
      <c r="B402" s="181" t="s">
        <v>447</v>
      </c>
      <c r="C402" s="162" t="s">
        <v>55</v>
      </c>
      <c r="D402" s="162" t="s">
        <v>56</v>
      </c>
      <c r="E402" s="162" t="s">
        <v>11</v>
      </c>
      <c r="F402" s="162" t="s">
        <v>10</v>
      </c>
      <c r="G402" s="42"/>
      <c r="H402" s="42" t="s">
        <v>913</v>
      </c>
    </row>
    <row r="403" spans="1:8" ht="30" x14ac:dyDescent="0.25">
      <c r="A403" s="162">
        <v>20</v>
      </c>
      <c r="B403" s="162" t="s">
        <v>318</v>
      </c>
      <c r="C403" s="162" t="s">
        <v>55</v>
      </c>
      <c r="D403" s="162" t="s">
        <v>56</v>
      </c>
      <c r="E403" s="162" t="s">
        <v>4</v>
      </c>
      <c r="F403" s="162"/>
      <c r="G403" s="42"/>
      <c r="H403" s="42" t="s">
        <v>913</v>
      </c>
    </row>
    <row r="404" spans="1:8" ht="45" x14ac:dyDescent="0.25">
      <c r="A404" s="162">
        <v>20</v>
      </c>
      <c r="B404" s="162" t="s">
        <v>448</v>
      </c>
      <c r="C404" s="162" t="s">
        <v>89</v>
      </c>
      <c r="D404" s="162" t="s">
        <v>90</v>
      </c>
      <c r="E404" s="162" t="s">
        <v>770</v>
      </c>
      <c r="F404" s="162"/>
      <c r="G404" s="42"/>
      <c r="H404" s="42" t="s">
        <v>908</v>
      </c>
    </row>
    <row r="405" spans="1:8" ht="51" x14ac:dyDescent="0.25">
      <c r="A405" s="162">
        <v>20</v>
      </c>
      <c r="B405" s="162" t="s">
        <v>449</v>
      </c>
      <c r="C405" s="162" t="s">
        <v>23</v>
      </c>
      <c r="D405" s="162" t="s">
        <v>24</v>
      </c>
      <c r="E405" s="162" t="s">
        <v>96</v>
      </c>
      <c r="F405" s="162" t="s">
        <v>33</v>
      </c>
      <c r="G405" s="42"/>
      <c r="H405" s="42" t="s">
        <v>906</v>
      </c>
    </row>
    <row r="406" spans="1:8" ht="36" x14ac:dyDescent="0.25">
      <c r="A406" s="162">
        <v>20</v>
      </c>
      <c r="B406" s="184" t="s">
        <v>450</v>
      </c>
      <c r="C406" s="162" t="s">
        <v>151</v>
      </c>
      <c r="D406" s="162" t="s">
        <v>152</v>
      </c>
      <c r="E406" s="162"/>
      <c r="F406" s="162"/>
      <c r="G406" s="42"/>
      <c r="H406" s="42" t="s">
        <v>946</v>
      </c>
    </row>
    <row r="407" spans="1:8" ht="45" x14ac:dyDescent="0.25">
      <c r="A407" s="162">
        <v>20</v>
      </c>
      <c r="B407" s="162" t="s">
        <v>451</v>
      </c>
      <c r="C407" s="162" t="s">
        <v>55</v>
      </c>
      <c r="D407" s="162" t="s">
        <v>56</v>
      </c>
      <c r="E407" s="162" t="s">
        <v>9</v>
      </c>
      <c r="F407" s="162" t="s">
        <v>5</v>
      </c>
      <c r="G407" s="162" t="s">
        <v>783</v>
      </c>
      <c r="H407" s="162" t="s">
        <v>924</v>
      </c>
    </row>
    <row r="408" spans="1:8" ht="45" x14ac:dyDescent="0.25">
      <c r="A408" s="162">
        <v>21</v>
      </c>
      <c r="B408" s="162" t="s">
        <v>452</v>
      </c>
      <c r="C408" s="162" t="s">
        <v>55</v>
      </c>
      <c r="D408" s="162" t="s">
        <v>56</v>
      </c>
      <c r="E408" s="162" t="s">
        <v>57</v>
      </c>
      <c r="F408" s="162" t="s">
        <v>10</v>
      </c>
      <c r="G408" s="42"/>
      <c r="H408" s="42" t="s">
        <v>914</v>
      </c>
    </row>
    <row r="409" spans="1:8" x14ac:dyDescent="0.25">
      <c r="A409" s="162">
        <v>21</v>
      </c>
      <c r="B409" s="162" t="s">
        <v>204</v>
      </c>
      <c r="C409" s="182" t="s">
        <v>453</v>
      </c>
      <c r="D409" s="182" t="s">
        <v>309</v>
      </c>
      <c r="E409" s="182"/>
      <c r="F409" s="182" t="s">
        <v>206</v>
      </c>
      <c r="G409" s="42"/>
      <c r="H409" s="42" t="s">
        <v>913</v>
      </c>
    </row>
    <row r="410" spans="1:8" x14ac:dyDescent="0.25">
      <c r="A410" s="162">
        <v>21</v>
      </c>
      <c r="B410" s="177" t="s">
        <v>805</v>
      </c>
      <c r="C410" s="182"/>
      <c r="D410" s="182"/>
      <c r="E410" s="182"/>
      <c r="F410" s="182"/>
      <c r="G410" s="42"/>
      <c r="H410" s="42"/>
    </row>
    <row r="411" spans="1:8" x14ac:dyDescent="0.25">
      <c r="A411" s="162">
        <v>21</v>
      </c>
      <c r="B411" s="162" t="s">
        <v>454</v>
      </c>
      <c r="C411" s="162" t="s">
        <v>55</v>
      </c>
      <c r="D411" s="162" t="s">
        <v>56</v>
      </c>
      <c r="E411" s="162" t="s">
        <v>1</v>
      </c>
      <c r="F411" s="162" t="s">
        <v>10</v>
      </c>
      <c r="G411" s="42"/>
      <c r="H411" s="42" t="s">
        <v>913</v>
      </c>
    </row>
    <row r="412" spans="1:8" ht="45" x14ac:dyDescent="0.25">
      <c r="A412" s="162">
        <v>21</v>
      </c>
      <c r="B412" s="162" t="s">
        <v>455</v>
      </c>
      <c r="C412" s="162" t="s">
        <v>55</v>
      </c>
      <c r="D412" s="162" t="s">
        <v>56</v>
      </c>
      <c r="E412" s="162" t="s">
        <v>1</v>
      </c>
      <c r="F412" s="162" t="s">
        <v>5</v>
      </c>
      <c r="G412" s="42"/>
      <c r="H412" s="42" t="s">
        <v>928</v>
      </c>
    </row>
    <row r="413" spans="1:8" ht="60" x14ac:dyDescent="0.25">
      <c r="A413" s="162">
        <v>21</v>
      </c>
      <c r="B413" s="162" t="s">
        <v>456</v>
      </c>
      <c r="C413" s="162" t="s">
        <v>36</v>
      </c>
      <c r="D413" s="162" t="s">
        <v>38</v>
      </c>
      <c r="E413" s="162" t="s">
        <v>3</v>
      </c>
      <c r="F413" s="162" t="s">
        <v>6</v>
      </c>
      <c r="G413" s="162" t="s">
        <v>785</v>
      </c>
      <c r="H413" s="162" t="s">
        <v>937</v>
      </c>
    </row>
    <row r="414" spans="1:8" ht="63" x14ac:dyDescent="0.25">
      <c r="A414" s="162">
        <v>21</v>
      </c>
      <c r="B414" s="162" t="s">
        <v>457</v>
      </c>
      <c r="C414" s="162" t="s">
        <v>36</v>
      </c>
      <c r="D414" s="162" t="s">
        <v>38</v>
      </c>
      <c r="E414" s="162" t="s">
        <v>3</v>
      </c>
      <c r="F414" s="162" t="s">
        <v>8</v>
      </c>
      <c r="G414" s="162" t="s">
        <v>796</v>
      </c>
      <c r="H414" s="162" t="s">
        <v>922</v>
      </c>
    </row>
    <row r="415" spans="1:8" ht="45" x14ac:dyDescent="0.25">
      <c r="A415" s="162">
        <v>21</v>
      </c>
      <c r="B415" s="162" t="s">
        <v>458</v>
      </c>
      <c r="C415" s="162" t="s">
        <v>23</v>
      </c>
      <c r="D415" s="162" t="s">
        <v>24</v>
      </c>
      <c r="E415" s="162" t="s">
        <v>96</v>
      </c>
      <c r="F415" s="162" t="s">
        <v>33</v>
      </c>
      <c r="G415" s="42"/>
      <c r="H415" s="42" t="s">
        <v>906</v>
      </c>
    </row>
    <row r="416" spans="1:8" ht="60" x14ac:dyDescent="0.25">
      <c r="A416" s="162">
        <v>21</v>
      </c>
      <c r="B416" s="162" t="s">
        <v>459</v>
      </c>
      <c r="C416" s="162" t="s">
        <v>55</v>
      </c>
      <c r="D416" s="162" t="s">
        <v>56</v>
      </c>
      <c r="E416" s="162" t="s">
        <v>57</v>
      </c>
      <c r="F416" s="162" t="s">
        <v>10</v>
      </c>
      <c r="G416" s="42"/>
      <c r="H416" s="42" t="s">
        <v>914</v>
      </c>
    </row>
    <row r="417" spans="1:8" ht="30" x14ac:dyDescent="0.25">
      <c r="A417" s="162">
        <v>21</v>
      </c>
      <c r="B417" s="162" t="s">
        <v>460</v>
      </c>
      <c r="C417" s="162" t="s">
        <v>55</v>
      </c>
      <c r="D417" s="162" t="s">
        <v>56</v>
      </c>
      <c r="E417" s="162" t="s">
        <v>9</v>
      </c>
      <c r="F417" s="162" t="s">
        <v>10</v>
      </c>
      <c r="G417" s="42"/>
      <c r="H417" s="42" t="s">
        <v>915</v>
      </c>
    </row>
    <row r="418" spans="1:8" ht="60" x14ac:dyDescent="0.25">
      <c r="A418" s="162">
        <v>21</v>
      </c>
      <c r="B418" s="162" t="s">
        <v>461</v>
      </c>
      <c r="C418" s="162" t="s">
        <v>55</v>
      </c>
      <c r="D418" s="162" t="s">
        <v>56</v>
      </c>
      <c r="E418" s="162" t="s">
        <v>11</v>
      </c>
      <c r="F418" s="162" t="s">
        <v>10</v>
      </c>
      <c r="G418" s="42"/>
      <c r="H418" s="42" t="s">
        <v>913</v>
      </c>
    </row>
    <row r="419" spans="1:8" ht="105" x14ac:dyDescent="0.25">
      <c r="A419" s="162">
        <v>21</v>
      </c>
      <c r="B419" s="162" t="s">
        <v>462</v>
      </c>
      <c r="C419" s="162" t="s">
        <v>55</v>
      </c>
      <c r="D419" s="162" t="s">
        <v>56</v>
      </c>
      <c r="E419" s="162" t="s">
        <v>9</v>
      </c>
      <c r="F419" s="162" t="s">
        <v>5</v>
      </c>
      <c r="G419" s="42"/>
      <c r="H419" s="42" t="s">
        <v>914</v>
      </c>
    </row>
    <row r="420" spans="1:8" ht="45" x14ac:dyDescent="0.25">
      <c r="A420" s="162">
        <v>21</v>
      </c>
      <c r="B420" s="162" t="s">
        <v>463</v>
      </c>
      <c r="C420" s="162" t="s">
        <v>55</v>
      </c>
      <c r="D420" s="162" t="s">
        <v>56</v>
      </c>
      <c r="E420" s="162" t="s">
        <v>57</v>
      </c>
      <c r="F420" s="162" t="s">
        <v>10</v>
      </c>
      <c r="G420" s="42"/>
      <c r="H420" s="42" t="s">
        <v>915</v>
      </c>
    </row>
    <row r="421" spans="1:8" ht="108" x14ac:dyDescent="0.25">
      <c r="A421" s="162">
        <v>21</v>
      </c>
      <c r="B421" s="162" t="s">
        <v>464</v>
      </c>
      <c r="C421" s="162" t="s">
        <v>258</v>
      </c>
      <c r="D421" s="162" t="s">
        <v>24</v>
      </c>
      <c r="E421" s="162" t="s">
        <v>96</v>
      </c>
      <c r="F421" s="162" t="s">
        <v>33</v>
      </c>
      <c r="G421" s="42"/>
      <c r="H421" s="42" t="s">
        <v>908</v>
      </c>
    </row>
    <row r="422" spans="1:8" ht="30" x14ac:dyDescent="0.25">
      <c r="A422" s="162">
        <v>21</v>
      </c>
      <c r="B422" s="162" t="s">
        <v>465</v>
      </c>
      <c r="C422" s="162"/>
      <c r="D422" s="162" t="s">
        <v>51</v>
      </c>
      <c r="E422" s="162" t="s">
        <v>811</v>
      </c>
      <c r="F422" s="162"/>
      <c r="G422" s="163" t="s">
        <v>760</v>
      </c>
      <c r="H422" s="42"/>
    </row>
    <row r="423" spans="1:8" ht="120" x14ac:dyDescent="0.25">
      <c r="A423" s="162">
        <v>21</v>
      </c>
      <c r="B423" s="162" t="s">
        <v>466</v>
      </c>
      <c r="C423" s="162" t="s">
        <v>55</v>
      </c>
      <c r="D423" s="162" t="s">
        <v>56</v>
      </c>
      <c r="E423" s="162" t="s">
        <v>57</v>
      </c>
      <c r="F423" s="162" t="s">
        <v>5</v>
      </c>
      <c r="G423" s="162" t="s">
        <v>783</v>
      </c>
      <c r="H423" s="162" t="s">
        <v>924</v>
      </c>
    </row>
    <row r="424" spans="1:8" ht="45" x14ac:dyDescent="0.25">
      <c r="A424" s="162">
        <v>22</v>
      </c>
      <c r="B424" s="162" t="s">
        <v>467</v>
      </c>
      <c r="C424" s="162" t="s">
        <v>55</v>
      </c>
      <c r="D424" s="162" t="s">
        <v>56</v>
      </c>
      <c r="E424" s="162" t="s">
        <v>11</v>
      </c>
      <c r="F424" s="162" t="s">
        <v>10</v>
      </c>
      <c r="G424" s="42"/>
      <c r="H424" s="42" t="s">
        <v>915</v>
      </c>
    </row>
    <row r="425" spans="1:8" ht="45" x14ac:dyDescent="0.25">
      <c r="A425" s="162">
        <v>22</v>
      </c>
      <c r="B425" s="162" t="s">
        <v>468</v>
      </c>
      <c r="C425" s="182" t="s">
        <v>55</v>
      </c>
      <c r="D425" s="182" t="s">
        <v>56</v>
      </c>
      <c r="E425" s="182" t="s">
        <v>1</v>
      </c>
      <c r="F425" s="182" t="s">
        <v>10</v>
      </c>
      <c r="G425" s="163" t="s">
        <v>783</v>
      </c>
      <c r="H425" s="42" t="s">
        <v>924</v>
      </c>
    </row>
    <row r="426" spans="1:8" x14ac:dyDescent="0.25">
      <c r="A426" s="162">
        <v>22</v>
      </c>
      <c r="B426" s="162" t="s">
        <v>469</v>
      </c>
      <c r="C426" s="182"/>
      <c r="D426" s="182"/>
      <c r="E426" s="182"/>
      <c r="F426" s="182"/>
      <c r="G426" s="42"/>
      <c r="H426" s="42"/>
    </row>
    <row r="427" spans="1:8" ht="45" x14ac:dyDescent="0.25">
      <c r="A427" s="162">
        <v>22</v>
      </c>
      <c r="B427" s="162" t="s">
        <v>470</v>
      </c>
      <c r="C427" s="162" t="s">
        <v>28</v>
      </c>
      <c r="D427" s="162" t="s">
        <v>29</v>
      </c>
      <c r="E427" s="162" t="s">
        <v>30</v>
      </c>
      <c r="F427" s="162" t="s">
        <v>31</v>
      </c>
      <c r="G427" s="42"/>
      <c r="H427" s="42" t="s">
        <v>907</v>
      </c>
    </row>
    <row r="428" spans="1:8" x14ac:dyDescent="0.25">
      <c r="A428" s="162">
        <v>22</v>
      </c>
      <c r="B428" s="162" t="s">
        <v>471</v>
      </c>
      <c r="C428" s="162" t="s">
        <v>28</v>
      </c>
      <c r="D428" s="162" t="s">
        <v>29</v>
      </c>
      <c r="E428" s="162" t="s">
        <v>210</v>
      </c>
      <c r="F428" s="162" t="s">
        <v>184</v>
      </c>
      <c r="G428" s="42"/>
      <c r="H428" s="42" t="s">
        <v>942</v>
      </c>
    </row>
    <row r="429" spans="1:8" x14ac:dyDescent="0.25">
      <c r="A429" s="162">
        <v>22</v>
      </c>
      <c r="B429" s="162" t="s">
        <v>472</v>
      </c>
      <c r="C429" s="182" t="s">
        <v>453</v>
      </c>
      <c r="D429" s="182" t="s">
        <v>309</v>
      </c>
      <c r="E429" s="182"/>
      <c r="F429" s="182" t="s">
        <v>474</v>
      </c>
      <c r="G429" s="42"/>
      <c r="H429" s="42" t="s">
        <v>914</v>
      </c>
    </row>
    <row r="430" spans="1:8" x14ac:dyDescent="0.25">
      <c r="A430" s="162">
        <v>22</v>
      </c>
      <c r="B430" s="162" t="s">
        <v>473</v>
      </c>
      <c r="C430" s="182"/>
      <c r="D430" s="182"/>
      <c r="E430" s="182"/>
      <c r="F430" s="182"/>
      <c r="G430" s="42"/>
      <c r="H430" s="42"/>
    </row>
    <row r="431" spans="1:8" ht="30" x14ac:dyDescent="0.25">
      <c r="A431" s="162">
        <v>22</v>
      </c>
      <c r="B431" s="162" t="s">
        <v>475</v>
      </c>
      <c r="C431" s="162" t="s">
        <v>28</v>
      </c>
      <c r="D431" s="162" t="s">
        <v>29</v>
      </c>
      <c r="E431" s="162" t="s">
        <v>30</v>
      </c>
      <c r="F431" s="162" t="s">
        <v>31</v>
      </c>
      <c r="G431" s="42"/>
      <c r="H431" s="42" t="s">
        <v>907</v>
      </c>
    </row>
    <row r="432" spans="1:8" ht="45" x14ac:dyDescent="0.25">
      <c r="A432" s="162">
        <v>22</v>
      </c>
      <c r="B432" s="162" t="s">
        <v>476</v>
      </c>
      <c r="C432" s="162" t="s">
        <v>55</v>
      </c>
      <c r="D432" s="162" t="s">
        <v>56</v>
      </c>
      <c r="E432" s="162" t="s">
        <v>224</v>
      </c>
      <c r="F432" s="162" t="s">
        <v>5</v>
      </c>
      <c r="G432" s="42"/>
      <c r="H432" s="42" t="s">
        <v>914</v>
      </c>
    </row>
    <row r="433" spans="1:8" ht="45" x14ac:dyDescent="0.25">
      <c r="A433" s="162">
        <v>22</v>
      </c>
      <c r="B433" s="162" t="s">
        <v>477</v>
      </c>
      <c r="C433" s="162" t="s">
        <v>28</v>
      </c>
      <c r="D433" s="162" t="s">
        <v>29</v>
      </c>
      <c r="E433" s="162" t="s">
        <v>30</v>
      </c>
      <c r="F433" s="162" t="s">
        <v>31</v>
      </c>
      <c r="G433" s="42"/>
      <c r="H433" s="42" t="s">
        <v>923</v>
      </c>
    </row>
    <row r="434" spans="1:8" ht="45" x14ac:dyDescent="0.25">
      <c r="A434" s="162">
        <v>22</v>
      </c>
      <c r="B434" s="162" t="s">
        <v>478</v>
      </c>
      <c r="C434" s="162" t="s">
        <v>23</v>
      </c>
      <c r="D434" s="162" t="s">
        <v>24</v>
      </c>
      <c r="E434" s="162" t="s">
        <v>96</v>
      </c>
      <c r="F434" s="162" t="s">
        <v>33</v>
      </c>
      <c r="G434" s="162"/>
      <c r="H434" s="42" t="s">
        <v>911</v>
      </c>
    </row>
    <row r="435" spans="1:8" ht="30" x14ac:dyDescent="0.25">
      <c r="A435" s="162">
        <v>22</v>
      </c>
      <c r="B435" s="162" t="s">
        <v>479</v>
      </c>
      <c r="C435" s="162" t="s">
        <v>55</v>
      </c>
      <c r="D435" s="162" t="s">
        <v>56</v>
      </c>
      <c r="E435" s="162" t="s">
        <v>224</v>
      </c>
      <c r="F435" s="162" t="s">
        <v>10</v>
      </c>
      <c r="G435" s="42"/>
      <c r="H435" s="42" t="s">
        <v>933</v>
      </c>
    </row>
    <row r="436" spans="1:8" ht="45" x14ac:dyDescent="0.25">
      <c r="A436" s="162">
        <v>22</v>
      </c>
      <c r="B436" s="162" t="s">
        <v>480</v>
      </c>
      <c r="C436" s="162" t="s">
        <v>55</v>
      </c>
      <c r="D436" s="162" t="s">
        <v>56</v>
      </c>
      <c r="E436" s="162" t="s">
        <v>11</v>
      </c>
      <c r="F436" s="162" t="s">
        <v>10</v>
      </c>
      <c r="G436" s="162" t="s">
        <v>790</v>
      </c>
      <c r="H436" s="162" t="s">
        <v>938</v>
      </c>
    </row>
    <row r="437" spans="1:8" ht="120" x14ac:dyDescent="0.25">
      <c r="A437" s="162">
        <v>23</v>
      </c>
      <c r="B437" s="162" t="s">
        <v>481</v>
      </c>
      <c r="C437" s="162" t="s">
        <v>55</v>
      </c>
      <c r="D437" s="162" t="s">
        <v>56</v>
      </c>
      <c r="E437" s="162" t="s">
        <v>482</v>
      </c>
      <c r="F437" s="162" t="s">
        <v>5</v>
      </c>
      <c r="G437" s="42"/>
      <c r="H437" s="42" t="s">
        <v>914</v>
      </c>
    </row>
    <row r="438" spans="1:8" ht="45" x14ac:dyDescent="0.25">
      <c r="A438" s="162">
        <v>23</v>
      </c>
      <c r="B438" s="162" t="s">
        <v>483</v>
      </c>
      <c r="C438" s="162" t="s">
        <v>55</v>
      </c>
      <c r="D438" s="162" t="s">
        <v>56</v>
      </c>
      <c r="E438" s="162" t="s">
        <v>224</v>
      </c>
      <c r="F438" s="162" t="s">
        <v>2</v>
      </c>
      <c r="G438" s="42"/>
      <c r="H438" s="42" t="s">
        <v>913</v>
      </c>
    </row>
    <row r="439" spans="1:8" ht="30" x14ac:dyDescent="0.25">
      <c r="A439" s="162">
        <v>23</v>
      </c>
      <c r="B439" s="162" t="s">
        <v>484</v>
      </c>
      <c r="C439" s="162" t="s">
        <v>55</v>
      </c>
      <c r="D439" s="162" t="s">
        <v>56</v>
      </c>
      <c r="E439" s="162" t="s">
        <v>4</v>
      </c>
      <c r="F439" s="162"/>
      <c r="G439" s="42"/>
      <c r="H439" s="42" t="s">
        <v>913</v>
      </c>
    </row>
    <row r="440" spans="1:8" ht="30" x14ac:dyDescent="0.25">
      <c r="A440" s="162">
        <v>23</v>
      </c>
      <c r="B440" s="162" t="s">
        <v>485</v>
      </c>
      <c r="C440" s="162" t="s">
        <v>55</v>
      </c>
      <c r="D440" s="162" t="s">
        <v>56</v>
      </c>
      <c r="E440" s="162" t="s">
        <v>4</v>
      </c>
      <c r="F440" s="162"/>
      <c r="G440" s="42"/>
      <c r="H440" s="42" t="s">
        <v>940</v>
      </c>
    </row>
    <row r="441" spans="1:8" ht="45" x14ac:dyDescent="0.25">
      <c r="A441" s="162">
        <v>23</v>
      </c>
      <c r="B441" s="182" t="s">
        <v>486</v>
      </c>
      <c r="C441" s="182" t="s">
        <v>55</v>
      </c>
      <c r="D441" s="182" t="s">
        <v>56</v>
      </c>
      <c r="E441" s="182" t="s">
        <v>57</v>
      </c>
      <c r="F441" s="162" t="s">
        <v>5</v>
      </c>
      <c r="G441" s="163" t="s">
        <v>784</v>
      </c>
      <c r="H441" s="42" t="s">
        <v>912</v>
      </c>
    </row>
    <row r="442" spans="1:8" x14ac:dyDescent="0.25">
      <c r="A442" s="162">
        <v>23</v>
      </c>
      <c r="B442" s="182"/>
      <c r="C442" s="182"/>
      <c r="D442" s="182"/>
      <c r="E442" s="182"/>
      <c r="F442" s="162" t="s">
        <v>2</v>
      </c>
      <c r="G442" s="42"/>
      <c r="H442" s="42"/>
    </row>
    <row r="443" spans="1:8" ht="135" x14ac:dyDescent="0.25">
      <c r="A443" s="162">
        <v>24</v>
      </c>
      <c r="B443" s="162" t="s">
        <v>487</v>
      </c>
      <c r="C443" s="162" t="s">
        <v>55</v>
      </c>
      <c r="D443" s="162" t="s">
        <v>56</v>
      </c>
      <c r="E443" s="162" t="s">
        <v>9</v>
      </c>
      <c r="F443" s="162" t="s">
        <v>5</v>
      </c>
      <c r="G443" s="162"/>
      <c r="H443" s="42" t="s">
        <v>914</v>
      </c>
    </row>
    <row r="444" spans="1:8" ht="104.25" customHeight="1" x14ac:dyDescent="0.25">
      <c r="A444" s="162">
        <v>24</v>
      </c>
      <c r="B444" s="162" t="s">
        <v>488</v>
      </c>
      <c r="C444" s="162" t="s">
        <v>55</v>
      </c>
      <c r="D444" s="162" t="s">
        <v>56</v>
      </c>
      <c r="E444" s="162" t="s">
        <v>11</v>
      </c>
      <c r="F444" s="162" t="s">
        <v>10</v>
      </c>
      <c r="G444" s="42"/>
      <c r="H444" s="42" t="s">
        <v>933</v>
      </c>
    </row>
    <row r="445" spans="1:8" ht="30" x14ac:dyDescent="0.25">
      <c r="A445" s="162">
        <v>24</v>
      </c>
      <c r="B445" s="162" t="s">
        <v>489</v>
      </c>
      <c r="C445" s="162" t="s">
        <v>55</v>
      </c>
      <c r="D445" s="162" t="s">
        <v>56</v>
      </c>
      <c r="E445" s="162" t="s">
        <v>4</v>
      </c>
      <c r="F445" s="162"/>
      <c r="G445" s="42"/>
      <c r="H445" s="42" t="s">
        <v>941</v>
      </c>
    </row>
    <row r="446" spans="1:8" ht="45" x14ac:dyDescent="0.25">
      <c r="A446" s="162">
        <v>25</v>
      </c>
      <c r="B446" s="162" t="s">
        <v>490</v>
      </c>
      <c r="C446" s="162" t="s">
        <v>55</v>
      </c>
      <c r="D446" s="162" t="s">
        <v>56</v>
      </c>
      <c r="E446" s="162" t="s">
        <v>224</v>
      </c>
      <c r="F446" s="162" t="s">
        <v>5</v>
      </c>
      <c r="G446" s="162" t="s">
        <v>784</v>
      </c>
      <c r="H446" s="162" t="s">
        <v>912</v>
      </c>
    </row>
    <row r="447" spans="1:8" ht="45" x14ac:dyDescent="0.25">
      <c r="A447" s="162">
        <v>25</v>
      </c>
      <c r="B447" s="162" t="s">
        <v>491</v>
      </c>
      <c r="C447" s="162" t="s">
        <v>89</v>
      </c>
      <c r="D447" s="162" t="s">
        <v>90</v>
      </c>
      <c r="E447" s="162" t="s">
        <v>770</v>
      </c>
      <c r="F447" s="162" t="s">
        <v>492</v>
      </c>
      <c r="G447" s="162"/>
      <c r="H447" s="42" t="s">
        <v>908</v>
      </c>
    </row>
    <row r="448" spans="1:8" ht="45" x14ac:dyDescent="0.25">
      <c r="A448" s="162">
        <v>25</v>
      </c>
      <c r="B448" s="162" t="s">
        <v>493</v>
      </c>
      <c r="C448" s="162" t="s">
        <v>55</v>
      </c>
      <c r="D448" s="162" t="s">
        <v>56</v>
      </c>
      <c r="E448" s="162" t="s">
        <v>57</v>
      </c>
      <c r="F448" s="162" t="s">
        <v>10</v>
      </c>
      <c r="G448" s="162" t="s">
        <v>790</v>
      </c>
      <c r="H448" s="162" t="s">
        <v>938</v>
      </c>
    </row>
    <row r="449" spans="1:8" ht="30" x14ac:dyDescent="0.25">
      <c r="A449" s="162">
        <v>25</v>
      </c>
      <c r="B449" s="162" t="s">
        <v>494</v>
      </c>
      <c r="C449" s="162" t="s">
        <v>55</v>
      </c>
      <c r="D449" s="162" t="s">
        <v>56</v>
      </c>
      <c r="E449" s="162" t="s">
        <v>1</v>
      </c>
      <c r="F449" s="162" t="s">
        <v>2</v>
      </c>
      <c r="G449" s="42"/>
      <c r="H449" s="42" t="s">
        <v>928</v>
      </c>
    </row>
    <row r="450" spans="1:8" ht="30" x14ac:dyDescent="0.25">
      <c r="A450" s="162">
        <v>25</v>
      </c>
      <c r="B450" s="162" t="s">
        <v>495</v>
      </c>
      <c r="C450" s="162" t="s">
        <v>55</v>
      </c>
      <c r="D450" s="162" t="s">
        <v>56</v>
      </c>
      <c r="E450" s="162" t="s">
        <v>57</v>
      </c>
      <c r="F450" s="162" t="s">
        <v>10</v>
      </c>
      <c r="G450" s="42"/>
      <c r="H450" s="162" t="s">
        <v>915</v>
      </c>
    </row>
    <row r="451" spans="1:8" ht="45" x14ac:dyDescent="0.25">
      <c r="A451" s="162">
        <v>25</v>
      </c>
      <c r="B451" s="162" t="s">
        <v>496</v>
      </c>
      <c r="C451" s="162" t="s">
        <v>89</v>
      </c>
      <c r="D451" s="162" t="s">
        <v>90</v>
      </c>
      <c r="E451" s="162" t="s">
        <v>770</v>
      </c>
      <c r="F451" s="162"/>
      <c r="G451" s="42"/>
      <c r="H451" s="42" t="s">
        <v>908</v>
      </c>
    </row>
    <row r="452" spans="1:8" ht="45" x14ac:dyDescent="0.25">
      <c r="A452" s="162">
        <v>25</v>
      </c>
      <c r="B452" s="162" t="s">
        <v>497</v>
      </c>
      <c r="C452" s="162" t="s">
        <v>36</v>
      </c>
      <c r="D452" s="162" t="s">
        <v>38</v>
      </c>
      <c r="E452" s="162" t="s">
        <v>3</v>
      </c>
      <c r="F452" s="162" t="s">
        <v>8</v>
      </c>
      <c r="G452" s="42"/>
      <c r="H452" s="162" t="s">
        <v>916</v>
      </c>
    </row>
    <row r="453" spans="1:8" ht="93" x14ac:dyDescent="0.25">
      <c r="A453" s="162">
        <v>25</v>
      </c>
      <c r="B453" s="162" t="s">
        <v>498</v>
      </c>
      <c r="C453" s="162" t="s">
        <v>36</v>
      </c>
      <c r="D453" s="162" t="s">
        <v>37</v>
      </c>
      <c r="E453" s="162" t="s">
        <v>770</v>
      </c>
      <c r="F453" s="162"/>
      <c r="G453" s="42"/>
      <c r="H453" s="42" t="s">
        <v>916</v>
      </c>
    </row>
    <row r="454" spans="1:8" ht="90" x14ac:dyDescent="0.25">
      <c r="A454" s="162">
        <v>25</v>
      </c>
      <c r="B454" s="162" t="s">
        <v>499</v>
      </c>
      <c r="C454" s="162" t="s">
        <v>500</v>
      </c>
      <c r="D454" s="162" t="s">
        <v>56</v>
      </c>
      <c r="E454" s="162" t="s">
        <v>57</v>
      </c>
      <c r="F454" s="162" t="s">
        <v>5</v>
      </c>
      <c r="G454" s="42"/>
      <c r="H454" s="162" t="s">
        <v>914</v>
      </c>
    </row>
    <row r="455" spans="1:8" ht="45" x14ac:dyDescent="0.25">
      <c r="A455" s="162">
        <v>25</v>
      </c>
      <c r="B455" s="162" t="s">
        <v>501</v>
      </c>
      <c r="C455" s="162" t="s">
        <v>55</v>
      </c>
      <c r="D455" s="162" t="s">
        <v>56</v>
      </c>
      <c r="E455" s="162" t="s">
        <v>57</v>
      </c>
      <c r="F455" s="162" t="s">
        <v>5</v>
      </c>
      <c r="G455" s="42"/>
      <c r="H455" s="42" t="s">
        <v>914</v>
      </c>
    </row>
    <row r="456" spans="1:8" x14ac:dyDescent="0.25">
      <c r="A456" s="162">
        <v>26</v>
      </c>
      <c r="B456" s="162" t="s">
        <v>502</v>
      </c>
      <c r="C456" s="162" t="s">
        <v>55</v>
      </c>
      <c r="D456" s="162" t="s">
        <v>56</v>
      </c>
      <c r="E456" s="162" t="s">
        <v>9</v>
      </c>
      <c r="F456" s="162" t="s">
        <v>10</v>
      </c>
      <c r="G456" s="42"/>
      <c r="H456" s="42" t="s">
        <v>920</v>
      </c>
    </row>
    <row r="457" spans="1:8" ht="45" x14ac:dyDescent="0.25">
      <c r="A457" s="162">
        <v>26</v>
      </c>
      <c r="B457" s="162" t="s">
        <v>789</v>
      </c>
      <c r="C457" s="182" t="s">
        <v>55</v>
      </c>
      <c r="D457" s="182" t="s">
        <v>56</v>
      </c>
      <c r="E457" s="182" t="s">
        <v>4</v>
      </c>
      <c r="F457" s="182"/>
      <c r="G457" s="163" t="s">
        <v>786</v>
      </c>
      <c r="H457" s="42" t="s">
        <v>912</v>
      </c>
    </row>
    <row r="458" spans="1:8" x14ac:dyDescent="0.25">
      <c r="A458" s="162">
        <v>26</v>
      </c>
      <c r="B458" s="162" t="s">
        <v>503</v>
      </c>
      <c r="C458" s="182"/>
      <c r="D458" s="182"/>
      <c r="E458" s="182"/>
      <c r="F458" s="182"/>
      <c r="G458" s="42"/>
      <c r="H458" s="42"/>
    </row>
    <row r="459" spans="1:8" ht="30" x14ac:dyDescent="0.25">
      <c r="A459" s="162">
        <v>26</v>
      </c>
      <c r="B459" s="162" t="s">
        <v>504</v>
      </c>
      <c r="C459" s="162" t="s">
        <v>36</v>
      </c>
      <c r="D459" s="162" t="s">
        <v>38</v>
      </c>
      <c r="E459" s="162" t="s">
        <v>3</v>
      </c>
      <c r="F459" s="162" t="s">
        <v>8</v>
      </c>
      <c r="G459" s="42"/>
      <c r="H459" s="42" t="s">
        <v>916</v>
      </c>
    </row>
    <row r="460" spans="1:8" ht="60" x14ac:dyDescent="0.25">
      <c r="A460" s="162">
        <v>26</v>
      </c>
      <c r="B460" s="162" t="s">
        <v>505</v>
      </c>
      <c r="C460" s="162" t="s">
        <v>55</v>
      </c>
      <c r="D460" s="162" t="s">
        <v>56</v>
      </c>
      <c r="E460" s="162" t="s">
        <v>57</v>
      </c>
      <c r="F460" s="162" t="s">
        <v>10</v>
      </c>
      <c r="G460" s="42"/>
      <c r="H460" s="42" t="s">
        <v>915</v>
      </c>
    </row>
    <row r="461" spans="1:8" ht="150" x14ac:dyDescent="0.25">
      <c r="A461" s="162">
        <v>26</v>
      </c>
      <c r="B461" s="162" t="s">
        <v>506</v>
      </c>
      <c r="C461" s="162" t="s">
        <v>55</v>
      </c>
      <c r="D461" s="162" t="s">
        <v>56</v>
      </c>
      <c r="E461" s="162" t="s">
        <v>57</v>
      </c>
      <c r="F461" s="162" t="s">
        <v>5</v>
      </c>
      <c r="G461" s="42"/>
      <c r="H461" s="42" t="s">
        <v>914</v>
      </c>
    </row>
    <row r="462" spans="1:8" ht="30" x14ac:dyDescent="0.25">
      <c r="A462" s="162">
        <v>26</v>
      </c>
      <c r="B462" s="162" t="s">
        <v>507</v>
      </c>
      <c r="C462" s="162" t="s">
        <v>55</v>
      </c>
      <c r="D462" s="162" t="s">
        <v>56</v>
      </c>
      <c r="E462" s="162" t="s">
        <v>4</v>
      </c>
      <c r="F462" s="162"/>
      <c r="G462" s="42"/>
      <c r="H462" s="42" t="s">
        <v>913</v>
      </c>
    </row>
    <row r="463" spans="1:8" ht="60" x14ac:dyDescent="0.25">
      <c r="A463" s="162">
        <v>26</v>
      </c>
      <c r="B463" s="162" t="s">
        <v>508</v>
      </c>
      <c r="C463" s="162" t="s">
        <v>28</v>
      </c>
      <c r="D463" s="162" t="s">
        <v>29</v>
      </c>
      <c r="E463" s="162" t="s">
        <v>30</v>
      </c>
      <c r="F463" s="162" t="s">
        <v>31</v>
      </c>
      <c r="G463" s="42"/>
      <c r="H463" s="42" t="s">
        <v>923</v>
      </c>
    </row>
    <row r="464" spans="1:8" ht="195" x14ac:dyDescent="0.25">
      <c r="A464" s="162">
        <v>26</v>
      </c>
      <c r="B464" s="162" t="s">
        <v>509</v>
      </c>
      <c r="C464" s="162" t="s">
        <v>36</v>
      </c>
      <c r="D464" s="162" t="s">
        <v>38</v>
      </c>
      <c r="E464" s="162" t="s">
        <v>3</v>
      </c>
      <c r="F464" s="162" t="s">
        <v>8</v>
      </c>
      <c r="G464" s="162" t="s">
        <v>785</v>
      </c>
      <c r="H464" s="162" t="s">
        <v>919</v>
      </c>
    </row>
    <row r="465" spans="1:8" ht="45" x14ac:dyDescent="0.25">
      <c r="A465" s="162">
        <v>26</v>
      </c>
      <c r="B465" s="162" t="s">
        <v>510</v>
      </c>
      <c r="C465" s="162" t="s">
        <v>214</v>
      </c>
      <c r="D465" s="162" t="s">
        <v>38</v>
      </c>
      <c r="E465" s="162" t="s">
        <v>3</v>
      </c>
      <c r="F465" s="162" t="s">
        <v>8</v>
      </c>
      <c r="G465" s="42"/>
      <c r="H465" s="42" t="s">
        <v>906</v>
      </c>
    </row>
    <row r="466" spans="1:8" ht="30" x14ac:dyDescent="0.25">
      <c r="A466" s="162">
        <v>26</v>
      </c>
      <c r="B466" s="162" t="s">
        <v>58</v>
      </c>
      <c r="C466" s="162"/>
      <c r="D466" s="162" t="s">
        <v>51</v>
      </c>
      <c r="E466" s="162" t="s">
        <v>811</v>
      </c>
      <c r="F466" s="162"/>
      <c r="G466" s="163" t="s">
        <v>760</v>
      </c>
      <c r="H466" s="42"/>
    </row>
    <row r="467" spans="1:8" ht="30" x14ac:dyDescent="0.25">
      <c r="A467" s="162">
        <v>26</v>
      </c>
      <c r="B467" s="162" t="s">
        <v>511</v>
      </c>
      <c r="C467" s="162"/>
      <c r="D467" s="162" t="s">
        <v>51</v>
      </c>
      <c r="E467" s="162" t="s">
        <v>811</v>
      </c>
      <c r="F467" s="162"/>
      <c r="G467" s="163" t="s">
        <v>760</v>
      </c>
      <c r="H467" s="42"/>
    </row>
    <row r="468" spans="1:8" ht="45" x14ac:dyDescent="0.25">
      <c r="A468" s="162">
        <v>26</v>
      </c>
      <c r="B468" s="162" t="s">
        <v>512</v>
      </c>
      <c r="C468" s="162" t="s">
        <v>413</v>
      </c>
      <c r="D468" s="162" t="s">
        <v>90</v>
      </c>
      <c r="E468" s="162" t="s">
        <v>770</v>
      </c>
      <c r="F468" s="162"/>
      <c r="G468" s="42"/>
      <c r="H468" s="42" t="s">
        <v>908</v>
      </c>
    </row>
    <row r="469" spans="1:8" ht="30" x14ac:dyDescent="0.25">
      <c r="A469" s="162">
        <v>26</v>
      </c>
      <c r="B469" s="162" t="s">
        <v>513</v>
      </c>
      <c r="C469" s="162"/>
      <c r="D469" s="162" t="s">
        <v>51</v>
      </c>
      <c r="E469" s="162" t="s">
        <v>812</v>
      </c>
      <c r="F469" s="162" t="s">
        <v>824</v>
      </c>
      <c r="G469" s="162" t="s">
        <v>760</v>
      </c>
      <c r="H469" s="42"/>
    </row>
    <row r="470" spans="1:8" ht="48" x14ac:dyDescent="0.25">
      <c r="A470" s="162">
        <v>26</v>
      </c>
      <c r="B470" s="162" t="s">
        <v>514</v>
      </c>
      <c r="C470" s="162" t="s">
        <v>36</v>
      </c>
      <c r="D470" s="162" t="s">
        <v>37</v>
      </c>
      <c r="E470" s="162" t="s">
        <v>770</v>
      </c>
      <c r="F470" s="162"/>
      <c r="G470" s="42"/>
      <c r="H470" s="42" t="s">
        <v>908</v>
      </c>
    </row>
    <row r="471" spans="1:8" ht="30" x14ac:dyDescent="0.25">
      <c r="A471" s="162">
        <v>26</v>
      </c>
      <c r="B471" s="162" t="s">
        <v>515</v>
      </c>
      <c r="C471" s="162" t="s">
        <v>55</v>
      </c>
      <c r="D471" s="162" t="s">
        <v>56</v>
      </c>
      <c r="E471" s="162" t="s">
        <v>11</v>
      </c>
      <c r="F471" s="162" t="s">
        <v>10</v>
      </c>
      <c r="G471" s="42"/>
      <c r="H471" s="42" t="s">
        <v>933</v>
      </c>
    </row>
    <row r="472" spans="1:8" ht="30" x14ac:dyDescent="0.25">
      <c r="A472" s="162">
        <v>26</v>
      </c>
      <c r="B472" s="162" t="s">
        <v>516</v>
      </c>
      <c r="C472" s="162" t="s">
        <v>40</v>
      </c>
      <c r="D472" s="162" t="s">
        <v>41</v>
      </c>
      <c r="E472" s="162" t="s">
        <v>42</v>
      </c>
      <c r="F472" s="162"/>
      <c r="G472" s="42"/>
      <c r="H472" s="42" t="s">
        <v>943</v>
      </c>
    </row>
    <row r="473" spans="1:8" ht="30" x14ac:dyDescent="0.25">
      <c r="A473" s="162">
        <v>26</v>
      </c>
      <c r="B473" s="162" t="s">
        <v>517</v>
      </c>
      <c r="C473" s="162" t="s">
        <v>28</v>
      </c>
      <c r="D473" s="162" t="s">
        <v>29</v>
      </c>
      <c r="E473" s="162" t="s">
        <v>30</v>
      </c>
      <c r="F473" s="162" t="s">
        <v>31</v>
      </c>
      <c r="G473" s="42"/>
      <c r="H473" s="42" t="s">
        <v>923</v>
      </c>
    </row>
    <row r="474" spans="1:8" ht="60" x14ac:dyDescent="0.25">
      <c r="A474" s="162">
        <v>27</v>
      </c>
      <c r="B474" s="162" t="s">
        <v>518</v>
      </c>
      <c r="C474" s="162" t="s">
        <v>55</v>
      </c>
      <c r="D474" s="162" t="s">
        <v>56</v>
      </c>
      <c r="E474" s="162" t="s">
        <v>11</v>
      </c>
      <c r="F474" s="162" t="s">
        <v>10</v>
      </c>
      <c r="G474" s="42"/>
      <c r="H474" s="42" t="s">
        <v>914</v>
      </c>
    </row>
    <row r="475" spans="1:8" ht="45" x14ac:dyDescent="0.25">
      <c r="A475" s="162">
        <v>27</v>
      </c>
      <c r="B475" s="162" t="s">
        <v>519</v>
      </c>
      <c r="C475" s="162" t="s">
        <v>89</v>
      </c>
      <c r="D475" s="162" t="s">
        <v>90</v>
      </c>
      <c r="E475" s="162" t="s">
        <v>770</v>
      </c>
      <c r="F475" s="162"/>
      <c r="G475" s="42"/>
      <c r="H475" s="42" t="s">
        <v>908</v>
      </c>
    </row>
    <row r="476" spans="1:8" ht="60" x14ac:dyDescent="0.25">
      <c r="A476" s="162">
        <v>27</v>
      </c>
      <c r="B476" s="162" t="s">
        <v>520</v>
      </c>
      <c r="C476" s="162" t="s">
        <v>49</v>
      </c>
      <c r="D476" s="162" t="s">
        <v>37</v>
      </c>
      <c r="E476" s="162" t="s">
        <v>12</v>
      </c>
      <c r="F476" s="162"/>
      <c r="G476" s="42"/>
      <c r="H476" s="42" t="s">
        <v>916</v>
      </c>
    </row>
    <row r="477" spans="1:8" ht="30" x14ac:dyDescent="0.25">
      <c r="A477" s="162">
        <v>27</v>
      </c>
      <c r="B477" s="162" t="s">
        <v>249</v>
      </c>
      <c r="C477" s="162"/>
      <c r="D477" s="162" t="s">
        <v>139</v>
      </c>
      <c r="E477" s="162" t="s">
        <v>823</v>
      </c>
      <c r="F477" s="162"/>
      <c r="G477" s="163" t="s">
        <v>760</v>
      </c>
      <c r="H477" s="42"/>
    </row>
    <row r="478" spans="1:8" ht="45" x14ac:dyDescent="0.25">
      <c r="A478" s="162">
        <v>27</v>
      </c>
      <c r="B478" s="162" t="s">
        <v>521</v>
      </c>
      <c r="C478" s="162" t="s">
        <v>89</v>
      </c>
      <c r="D478" s="162" t="s">
        <v>90</v>
      </c>
      <c r="E478" s="162" t="s">
        <v>770</v>
      </c>
      <c r="F478" s="162"/>
      <c r="G478" s="42"/>
      <c r="H478" s="42" t="s">
        <v>908</v>
      </c>
    </row>
    <row r="479" spans="1:8" ht="45" x14ac:dyDescent="0.25">
      <c r="A479" s="162">
        <v>27</v>
      </c>
      <c r="B479" s="188" t="s">
        <v>522</v>
      </c>
      <c r="C479" s="162" t="s">
        <v>36</v>
      </c>
      <c r="D479" s="162" t="s">
        <v>37</v>
      </c>
      <c r="E479" s="162" t="s">
        <v>774</v>
      </c>
      <c r="F479" s="162"/>
      <c r="G479" s="42"/>
      <c r="H479" s="42" t="s">
        <v>908</v>
      </c>
    </row>
    <row r="480" spans="1:8" ht="30" x14ac:dyDescent="0.25">
      <c r="A480" s="162">
        <v>27</v>
      </c>
      <c r="B480" s="162" t="s">
        <v>523</v>
      </c>
      <c r="C480" s="162" t="s">
        <v>55</v>
      </c>
      <c r="D480" s="162" t="s">
        <v>56</v>
      </c>
      <c r="E480" s="162" t="s">
        <v>4</v>
      </c>
      <c r="F480" s="162"/>
      <c r="G480" s="42"/>
      <c r="H480" s="42" t="s">
        <v>940</v>
      </c>
    </row>
    <row r="481" spans="1:8" ht="45" x14ac:dyDescent="0.25">
      <c r="A481" s="162">
        <v>27</v>
      </c>
      <c r="B481" s="162" t="s">
        <v>524</v>
      </c>
      <c r="C481" s="162" t="s">
        <v>28</v>
      </c>
      <c r="D481" s="162" t="s">
        <v>29</v>
      </c>
      <c r="E481" s="162" t="s">
        <v>30</v>
      </c>
      <c r="F481" s="162" t="s">
        <v>31</v>
      </c>
      <c r="G481" s="42"/>
      <c r="H481" s="42" t="s">
        <v>907</v>
      </c>
    </row>
    <row r="482" spans="1:8" ht="30" x14ac:dyDescent="0.25">
      <c r="A482" s="162">
        <v>27</v>
      </c>
      <c r="B482" s="162" t="s">
        <v>525</v>
      </c>
      <c r="C482" s="162" t="s">
        <v>28</v>
      </c>
      <c r="D482" s="162" t="s">
        <v>29</v>
      </c>
      <c r="E482" s="162" t="s">
        <v>30</v>
      </c>
      <c r="F482" s="162" t="s">
        <v>31</v>
      </c>
      <c r="G482" s="162"/>
      <c r="H482" s="42" t="s">
        <v>923</v>
      </c>
    </row>
    <row r="483" spans="1:8" ht="45" x14ac:dyDescent="0.25">
      <c r="A483" s="162">
        <v>27</v>
      </c>
      <c r="B483" s="162" t="s">
        <v>526</v>
      </c>
      <c r="C483" s="162" t="s">
        <v>55</v>
      </c>
      <c r="D483" s="162" t="s">
        <v>56</v>
      </c>
      <c r="E483" s="162" t="s">
        <v>9</v>
      </c>
      <c r="F483" s="162" t="s">
        <v>10</v>
      </c>
      <c r="G483" s="162" t="s">
        <v>783</v>
      </c>
      <c r="H483" s="162" t="s">
        <v>924</v>
      </c>
    </row>
    <row r="484" spans="1:8" ht="60" x14ac:dyDescent="0.25">
      <c r="A484" s="162">
        <v>27</v>
      </c>
      <c r="B484" s="162" t="s">
        <v>527</v>
      </c>
      <c r="C484" s="162" t="s">
        <v>89</v>
      </c>
      <c r="D484" s="162" t="s">
        <v>90</v>
      </c>
      <c r="E484" s="162" t="s">
        <v>770</v>
      </c>
      <c r="F484" s="162"/>
      <c r="G484" s="42"/>
      <c r="H484" s="42" t="s">
        <v>908</v>
      </c>
    </row>
    <row r="485" spans="1:8" ht="90" x14ac:dyDescent="0.25">
      <c r="A485" s="162">
        <v>27</v>
      </c>
      <c r="B485" s="162" t="s">
        <v>528</v>
      </c>
      <c r="C485" s="162" t="s">
        <v>55</v>
      </c>
      <c r="D485" s="162" t="s">
        <v>56</v>
      </c>
      <c r="E485" s="162" t="s">
        <v>9</v>
      </c>
      <c r="F485" s="162" t="s">
        <v>10</v>
      </c>
      <c r="G485" s="42"/>
      <c r="H485" s="42" t="s">
        <v>914</v>
      </c>
    </row>
    <row r="486" spans="1:8" ht="60" x14ac:dyDescent="0.25">
      <c r="A486" s="162">
        <v>27</v>
      </c>
      <c r="B486" s="162" t="s">
        <v>529</v>
      </c>
      <c r="C486" s="162" t="s">
        <v>55</v>
      </c>
      <c r="D486" s="162" t="s">
        <v>56</v>
      </c>
      <c r="E486" s="162" t="s">
        <v>242</v>
      </c>
      <c r="F486" s="162" t="s">
        <v>5</v>
      </c>
      <c r="G486" s="42"/>
      <c r="H486" s="42" t="s">
        <v>914</v>
      </c>
    </row>
    <row r="487" spans="1:8" ht="60" x14ac:dyDescent="0.25">
      <c r="A487" s="162">
        <v>27</v>
      </c>
      <c r="B487" s="162" t="s">
        <v>530</v>
      </c>
      <c r="C487" s="162" t="s">
        <v>55</v>
      </c>
      <c r="D487" s="162" t="s">
        <v>56</v>
      </c>
      <c r="E487" s="162" t="s">
        <v>57</v>
      </c>
      <c r="F487" s="162" t="s">
        <v>5</v>
      </c>
      <c r="G487" s="42"/>
      <c r="H487" s="42" t="s">
        <v>914</v>
      </c>
    </row>
    <row r="488" spans="1:8" x14ac:dyDescent="0.25">
      <c r="A488" s="162">
        <v>27</v>
      </c>
      <c r="B488" s="162" t="s">
        <v>801</v>
      </c>
      <c r="C488" s="162" t="s">
        <v>55</v>
      </c>
      <c r="D488" s="162" t="s">
        <v>56</v>
      </c>
      <c r="E488" s="162" t="s">
        <v>1</v>
      </c>
      <c r="F488" s="162" t="s">
        <v>206</v>
      </c>
      <c r="G488" s="42"/>
      <c r="H488" s="42" t="s">
        <v>914</v>
      </c>
    </row>
    <row r="489" spans="1:8" ht="120" x14ac:dyDescent="0.25">
      <c r="A489" s="162">
        <v>27</v>
      </c>
      <c r="B489" s="162" t="s">
        <v>531</v>
      </c>
      <c r="C489" s="162" t="s">
        <v>55</v>
      </c>
      <c r="D489" s="162" t="s">
        <v>56</v>
      </c>
      <c r="E489" s="162" t="s">
        <v>57</v>
      </c>
      <c r="F489" s="162" t="s">
        <v>5</v>
      </c>
      <c r="G489" s="42"/>
      <c r="H489" s="42" t="s">
        <v>914</v>
      </c>
    </row>
    <row r="490" spans="1:8" ht="30" x14ac:dyDescent="0.25">
      <c r="A490" s="162">
        <v>27</v>
      </c>
      <c r="B490" s="162" t="s">
        <v>532</v>
      </c>
      <c r="C490" s="162" t="s">
        <v>23</v>
      </c>
      <c r="D490" s="162" t="s">
        <v>24</v>
      </c>
      <c r="E490" s="162" t="s">
        <v>96</v>
      </c>
      <c r="F490" s="162" t="s">
        <v>124</v>
      </c>
      <c r="G490" s="42"/>
      <c r="H490" s="42" t="s">
        <v>908</v>
      </c>
    </row>
    <row r="491" spans="1:8" ht="30" x14ac:dyDescent="0.25">
      <c r="A491" s="162">
        <v>27</v>
      </c>
      <c r="B491" s="162" t="s">
        <v>733</v>
      </c>
      <c r="C491" s="162" t="s">
        <v>55</v>
      </c>
      <c r="D491" s="162" t="s">
        <v>56</v>
      </c>
      <c r="E491" s="162" t="s">
        <v>57</v>
      </c>
      <c r="F491" s="162" t="s">
        <v>5</v>
      </c>
      <c r="G491" s="42"/>
      <c r="H491" s="42" t="s">
        <v>913</v>
      </c>
    </row>
    <row r="492" spans="1:8" ht="30" x14ac:dyDescent="0.25">
      <c r="A492" s="162">
        <v>27</v>
      </c>
      <c r="B492" s="162" t="s">
        <v>533</v>
      </c>
      <c r="C492" s="162" t="s">
        <v>55</v>
      </c>
      <c r="D492" s="162" t="s">
        <v>56</v>
      </c>
      <c r="E492" s="162" t="s">
        <v>11</v>
      </c>
      <c r="F492" s="162" t="s">
        <v>10</v>
      </c>
      <c r="G492" s="42"/>
      <c r="H492" s="42" t="s">
        <v>913</v>
      </c>
    </row>
    <row r="493" spans="1:8" ht="30" x14ac:dyDescent="0.25">
      <c r="A493" s="162">
        <v>27</v>
      </c>
      <c r="B493" s="162" t="s">
        <v>534</v>
      </c>
      <c r="C493" s="182" t="s">
        <v>453</v>
      </c>
      <c r="D493" s="182" t="s">
        <v>309</v>
      </c>
      <c r="E493" s="182"/>
      <c r="F493" s="182" t="s">
        <v>474</v>
      </c>
      <c r="G493" s="42"/>
      <c r="H493" s="42" t="s">
        <v>914</v>
      </c>
    </row>
    <row r="494" spans="1:8" x14ac:dyDescent="0.25">
      <c r="A494" s="162">
        <v>27</v>
      </c>
      <c r="B494" s="177" t="s">
        <v>805</v>
      </c>
      <c r="C494" s="182"/>
      <c r="D494" s="182"/>
      <c r="E494" s="182"/>
      <c r="F494" s="182"/>
      <c r="G494" s="42"/>
      <c r="H494" s="42"/>
    </row>
    <row r="495" spans="1:8" ht="45" x14ac:dyDescent="0.25">
      <c r="A495" s="162">
        <v>28</v>
      </c>
      <c r="B495" s="162" t="s">
        <v>535</v>
      </c>
      <c r="C495" s="162" t="s">
        <v>89</v>
      </c>
      <c r="D495" s="162" t="s">
        <v>90</v>
      </c>
      <c r="E495" s="162" t="s">
        <v>770</v>
      </c>
      <c r="F495" s="162"/>
      <c r="G495" s="42"/>
      <c r="H495" s="42" t="s">
        <v>908</v>
      </c>
    </row>
    <row r="496" spans="1:8" ht="45" x14ac:dyDescent="0.25">
      <c r="A496" s="162">
        <v>28</v>
      </c>
      <c r="B496" s="162" t="s">
        <v>536</v>
      </c>
      <c r="C496" s="162" t="s">
        <v>89</v>
      </c>
      <c r="D496" s="162" t="s">
        <v>90</v>
      </c>
      <c r="E496" s="162" t="s">
        <v>770</v>
      </c>
      <c r="F496" s="162"/>
      <c r="G496" s="42"/>
      <c r="H496" s="42" t="s">
        <v>908</v>
      </c>
    </row>
    <row r="497" spans="1:8" ht="30" x14ac:dyDescent="0.25">
      <c r="A497" s="162">
        <v>28</v>
      </c>
      <c r="B497" s="162" t="s">
        <v>537</v>
      </c>
      <c r="C497" s="162" t="s">
        <v>55</v>
      </c>
      <c r="D497" s="162" t="s">
        <v>56</v>
      </c>
      <c r="E497" s="162" t="s">
        <v>11</v>
      </c>
      <c r="F497" s="162" t="s">
        <v>10</v>
      </c>
      <c r="G497" s="42"/>
      <c r="H497" s="42" t="s">
        <v>915</v>
      </c>
    </row>
    <row r="498" spans="1:8" ht="90" x14ac:dyDescent="0.25">
      <c r="A498" s="162">
        <v>28</v>
      </c>
      <c r="B498" s="162" t="s">
        <v>538</v>
      </c>
      <c r="C498" s="162" t="s">
        <v>36</v>
      </c>
      <c r="D498" s="162" t="s">
        <v>38</v>
      </c>
      <c r="E498" s="162" t="s">
        <v>3</v>
      </c>
      <c r="F498" s="162" t="s">
        <v>8</v>
      </c>
      <c r="G498" s="42"/>
      <c r="H498" s="42" t="s">
        <v>906</v>
      </c>
    </row>
    <row r="499" spans="1:8" ht="45" x14ac:dyDescent="0.25">
      <c r="A499" s="162">
        <v>28</v>
      </c>
      <c r="B499" s="162" t="s">
        <v>539</v>
      </c>
      <c r="C499" s="162" t="s">
        <v>36</v>
      </c>
      <c r="D499" s="162" t="s">
        <v>37</v>
      </c>
      <c r="E499" s="162" t="s">
        <v>770</v>
      </c>
      <c r="F499" s="162"/>
      <c r="G499" s="42"/>
      <c r="H499" s="42" t="s">
        <v>908</v>
      </c>
    </row>
    <row r="500" spans="1:8" ht="60" x14ac:dyDescent="0.25">
      <c r="A500" s="162">
        <v>28</v>
      </c>
      <c r="B500" s="162" t="s">
        <v>540</v>
      </c>
      <c r="C500" s="162" t="s">
        <v>55</v>
      </c>
      <c r="D500" s="162" t="s">
        <v>56</v>
      </c>
      <c r="E500" s="162" t="s">
        <v>242</v>
      </c>
      <c r="F500" s="162" t="s">
        <v>5</v>
      </c>
      <c r="G500" s="42"/>
      <c r="H500" s="42" t="s">
        <v>915</v>
      </c>
    </row>
    <row r="501" spans="1:8" ht="45" x14ac:dyDescent="0.25">
      <c r="A501" s="162">
        <v>28</v>
      </c>
      <c r="B501" s="162" t="s">
        <v>541</v>
      </c>
      <c r="C501" s="162" t="s">
        <v>23</v>
      </c>
      <c r="D501" s="162" t="s">
        <v>24</v>
      </c>
      <c r="E501" s="162" t="s">
        <v>96</v>
      </c>
      <c r="F501" s="162" t="s">
        <v>33</v>
      </c>
      <c r="G501" s="42"/>
      <c r="H501" s="42" t="s">
        <v>906</v>
      </c>
    </row>
    <row r="502" spans="1:8" ht="60.75" x14ac:dyDescent="0.25">
      <c r="A502" s="162">
        <v>28</v>
      </c>
      <c r="B502" s="162" t="s">
        <v>734</v>
      </c>
      <c r="C502" s="162" t="s">
        <v>55</v>
      </c>
      <c r="D502" s="162" t="s">
        <v>56</v>
      </c>
      <c r="E502" s="162" t="s">
        <v>242</v>
      </c>
      <c r="F502" s="162" t="s">
        <v>10</v>
      </c>
      <c r="G502" s="42"/>
      <c r="H502" s="42" t="s">
        <v>914</v>
      </c>
    </row>
    <row r="503" spans="1:8" ht="31.5" x14ac:dyDescent="0.25">
      <c r="A503" s="162">
        <v>28</v>
      </c>
      <c r="B503" s="185" t="s">
        <v>735</v>
      </c>
      <c r="C503" s="162" t="s">
        <v>500</v>
      </c>
      <c r="D503" s="162" t="s">
        <v>56</v>
      </c>
      <c r="E503" s="162" t="s">
        <v>1</v>
      </c>
      <c r="F503" s="162" t="s">
        <v>2</v>
      </c>
      <c r="G503" s="42"/>
      <c r="H503" s="42" t="s">
        <v>913</v>
      </c>
    </row>
    <row r="504" spans="1:8" ht="30" x14ac:dyDescent="0.25">
      <c r="A504" s="162">
        <v>28</v>
      </c>
      <c r="B504" s="162" t="s">
        <v>542</v>
      </c>
      <c r="C504" s="162" t="s">
        <v>55</v>
      </c>
      <c r="D504" s="162" t="s">
        <v>56</v>
      </c>
      <c r="E504" s="162" t="s">
        <v>4</v>
      </c>
      <c r="F504" s="162"/>
      <c r="G504" s="42"/>
      <c r="H504" s="42" t="s">
        <v>913</v>
      </c>
    </row>
    <row r="505" spans="1:8" ht="165" x14ac:dyDescent="0.25">
      <c r="A505" s="162">
        <v>28</v>
      </c>
      <c r="B505" s="162" t="s">
        <v>543</v>
      </c>
      <c r="C505" s="162" t="s">
        <v>89</v>
      </c>
      <c r="D505" s="162" t="s">
        <v>90</v>
      </c>
      <c r="E505" s="162" t="s">
        <v>770</v>
      </c>
      <c r="F505" s="162"/>
      <c r="G505" s="42"/>
      <c r="H505" s="42" t="s">
        <v>916</v>
      </c>
    </row>
    <row r="506" spans="1:8" ht="63" x14ac:dyDescent="0.25">
      <c r="A506" s="162">
        <v>28</v>
      </c>
      <c r="B506" s="162" t="s">
        <v>544</v>
      </c>
      <c r="C506" s="162" t="s">
        <v>55</v>
      </c>
      <c r="D506" s="162" t="s">
        <v>56</v>
      </c>
      <c r="E506" s="162" t="s">
        <v>57</v>
      </c>
      <c r="F506" s="162" t="s">
        <v>10</v>
      </c>
      <c r="G506" s="42"/>
      <c r="H506" s="42" t="s">
        <v>914</v>
      </c>
    </row>
    <row r="507" spans="1:8" ht="45" x14ac:dyDescent="0.25">
      <c r="A507" s="162">
        <v>28</v>
      </c>
      <c r="B507" s="162" t="s">
        <v>545</v>
      </c>
      <c r="C507" s="162" t="s">
        <v>55</v>
      </c>
      <c r="D507" s="162" t="s">
        <v>56</v>
      </c>
      <c r="E507" s="162" t="s">
        <v>57</v>
      </c>
      <c r="F507" s="162" t="s">
        <v>10</v>
      </c>
      <c r="G507" s="42"/>
      <c r="H507" s="42" t="s">
        <v>928</v>
      </c>
    </row>
    <row r="508" spans="1:8" x14ac:dyDescent="0.25">
      <c r="A508" s="162">
        <v>28</v>
      </c>
      <c r="B508" s="162" t="s">
        <v>546</v>
      </c>
      <c r="C508" s="162" t="s">
        <v>55</v>
      </c>
      <c r="D508" s="162" t="s">
        <v>56</v>
      </c>
      <c r="E508" s="162" t="s">
        <v>224</v>
      </c>
      <c r="F508" s="162" t="s">
        <v>5</v>
      </c>
      <c r="G508" s="42"/>
      <c r="H508" s="42" t="s">
        <v>913</v>
      </c>
    </row>
    <row r="509" spans="1:8" ht="30" x14ac:dyDescent="0.25">
      <c r="A509" s="162">
        <v>28</v>
      </c>
      <c r="B509" s="162" t="s">
        <v>547</v>
      </c>
      <c r="C509" s="162" t="s">
        <v>55</v>
      </c>
      <c r="D509" s="162" t="s">
        <v>56</v>
      </c>
      <c r="E509" s="162" t="s">
        <v>11</v>
      </c>
      <c r="F509" s="162" t="s">
        <v>10</v>
      </c>
      <c r="G509" s="42"/>
      <c r="H509" s="42" t="s">
        <v>933</v>
      </c>
    </row>
    <row r="510" spans="1:8" ht="120" x14ac:dyDescent="0.25">
      <c r="A510" s="162">
        <v>28</v>
      </c>
      <c r="B510" s="162" t="s">
        <v>548</v>
      </c>
      <c r="C510" s="162" t="s">
        <v>55</v>
      </c>
      <c r="D510" s="162" t="s">
        <v>56</v>
      </c>
      <c r="E510" s="162" t="s">
        <v>242</v>
      </c>
      <c r="F510" s="162" t="s">
        <v>5</v>
      </c>
      <c r="G510" s="42"/>
      <c r="H510" s="42" t="s">
        <v>914</v>
      </c>
    </row>
    <row r="511" spans="1:8" ht="60" x14ac:dyDescent="0.25">
      <c r="A511" s="162">
        <v>28</v>
      </c>
      <c r="B511" s="162" t="s">
        <v>549</v>
      </c>
      <c r="C511" s="162" t="s">
        <v>55</v>
      </c>
      <c r="D511" s="162" t="s">
        <v>56</v>
      </c>
      <c r="E511" s="162" t="s">
        <v>57</v>
      </c>
      <c r="F511" s="162" t="s">
        <v>5</v>
      </c>
      <c r="G511" s="42"/>
      <c r="H511" s="42" t="s">
        <v>914</v>
      </c>
    </row>
    <row r="512" spans="1:8" ht="30" x14ac:dyDescent="0.25">
      <c r="A512" s="162">
        <v>28</v>
      </c>
      <c r="B512" s="162" t="s">
        <v>736</v>
      </c>
      <c r="C512" s="162" t="s">
        <v>55</v>
      </c>
      <c r="D512" s="162" t="s">
        <v>56</v>
      </c>
      <c r="E512" s="162" t="s">
        <v>1</v>
      </c>
      <c r="F512" s="162" t="s">
        <v>5</v>
      </c>
      <c r="G512" s="42"/>
      <c r="H512" s="42" t="s">
        <v>913</v>
      </c>
    </row>
    <row r="513" spans="1:8" ht="30" x14ac:dyDescent="0.25">
      <c r="A513" s="162">
        <v>28</v>
      </c>
      <c r="B513" s="162" t="s">
        <v>550</v>
      </c>
      <c r="C513" s="162" t="s">
        <v>55</v>
      </c>
      <c r="D513" s="162" t="s">
        <v>56</v>
      </c>
      <c r="E513" s="162" t="s">
        <v>11</v>
      </c>
      <c r="F513" s="162" t="s">
        <v>5</v>
      </c>
      <c r="G513" s="42"/>
      <c r="H513" s="42" t="s">
        <v>913</v>
      </c>
    </row>
    <row r="514" spans="1:8" ht="45" x14ac:dyDescent="0.25">
      <c r="A514" s="162">
        <v>28</v>
      </c>
      <c r="B514" s="162" t="s">
        <v>551</v>
      </c>
      <c r="C514" s="162" t="s">
        <v>28</v>
      </c>
      <c r="D514" s="162" t="s">
        <v>29</v>
      </c>
      <c r="E514" s="162" t="s">
        <v>30</v>
      </c>
      <c r="F514" s="162" t="s">
        <v>31</v>
      </c>
      <c r="G514" s="42"/>
      <c r="H514" s="42" t="s">
        <v>907</v>
      </c>
    </row>
    <row r="515" spans="1:8" ht="30" x14ac:dyDescent="0.25">
      <c r="A515" s="162">
        <v>28</v>
      </c>
      <c r="B515" s="162" t="s">
        <v>552</v>
      </c>
      <c r="C515" s="162" t="s">
        <v>55</v>
      </c>
      <c r="D515" s="162" t="s">
        <v>56</v>
      </c>
      <c r="E515" s="162" t="s">
        <v>4</v>
      </c>
      <c r="F515" s="162"/>
      <c r="G515" s="42"/>
      <c r="H515" s="42" t="s">
        <v>913</v>
      </c>
    </row>
    <row r="516" spans="1:8" ht="78.75" x14ac:dyDescent="0.25">
      <c r="A516" s="162">
        <v>29</v>
      </c>
      <c r="B516" s="185" t="s">
        <v>737</v>
      </c>
      <c r="C516" s="162" t="s">
        <v>85</v>
      </c>
      <c r="D516" s="162" t="s">
        <v>56</v>
      </c>
      <c r="E516" s="162" t="s">
        <v>9</v>
      </c>
      <c r="F516" s="162" t="s">
        <v>5</v>
      </c>
      <c r="G516" s="42"/>
      <c r="H516" s="42" t="s">
        <v>914</v>
      </c>
    </row>
    <row r="517" spans="1:8" ht="30" x14ac:dyDescent="0.25">
      <c r="A517" s="162">
        <v>29</v>
      </c>
      <c r="B517" s="185" t="s">
        <v>738</v>
      </c>
      <c r="C517" s="162"/>
      <c r="D517" s="162" t="s">
        <v>51</v>
      </c>
      <c r="E517" s="162" t="s">
        <v>811</v>
      </c>
      <c r="F517" s="162" t="s">
        <v>813</v>
      </c>
      <c r="G517" s="162" t="s">
        <v>761</v>
      </c>
      <c r="H517" s="42"/>
    </row>
    <row r="518" spans="1:8" ht="31.5" x14ac:dyDescent="0.25">
      <c r="A518" s="162">
        <v>29</v>
      </c>
      <c r="B518" s="185" t="s">
        <v>739</v>
      </c>
      <c r="C518" s="162" t="s">
        <v>55</v>
      </c>
      <c r="D518" s="162" t="s">
        <v>56</v>
      </c>
      <c r="E518" s="162" t="s">
        <v>242</v>
      </c>
      <c r="F518" s="162" t="s">
        <v>5</v>
      </c>
      <c r="G518" s="42"/>
      <c r="H518" s="42" t="s">
        <v>913</v>
      </c>
    </row>
    <row r="519" spans="1:8" ht="79.5" customHeight="1" x14ac:dyDescent="0.25">
      <c r="A519" s="162">
        <v>29</v>
      </c>
      <c r="B519" s="189" t="s">
        <v>740</v>
      </c>
      <c r="C519" s="182" t="s">
        <v>55</v>
      </c>
      <c r="D519" s="182" t="s">
        <v>56</v>
      </c>
      <c r="E519" s="182" t="s">
        <v>11</v>
      </c>
      <c r="F519" s="162" t="s">
        <v>10</v>
      </c>
      <c r="G519" s="42"/>
      <c r="H519" s="42" t="s">
        <v>913</v>
      </c>
    </row>
    <row r="520" spans="1:8" x14ac:dyDescent="0.25">
      <c r="A520" s="162">
        <v>29</v>
      </c>
      <c r="B520" s="189"/>
      <c r="C520" s="182"/>
      <c r="D520" s="182"/>
      <c r="E520" s="182"/>
      <c r="F520" s="162" t="s">
        <v>5</v>
      </c>
      <c r="G520" s="42"/>
      <c r="H520" s="42"/>
    </row>
    <row r="521" spans="1:8" ht="30" x14ac:dyDescent="0.25">
      <c r="A521" s="162">
        <v>29</v>
      </c>
      <c r="B521" s="162" t="s">
        <v>553</v>
      </c>
      <c r="C521" s="162" t="s">
        <v>55</v>
      </c>
      <c r="D521" s="162" t="s">
        <v>56</v>
      </c>
      <c r="E521" s="162" t="s">
        <v>4</v>
      </c>
      <c r="F521" s="162"/>
      <c r="G521" s="42"/>
      <c r="H521" s="42" t="s">
        <v>913</v>
      </c>
    </row>
    <row r="522" spans="1:8" ht="30" x14ac:dyDescent="0.25">
      <c r="A522" s="162">
        <v>29</v>
      </c>
      <c r="B522" s="162" t="s">
        <v>554</v>
      </c>
      <c r="C522" s="162" t="s">
        <v>55</v>
      </c>
      <c r="D522" s="162" t="s">
        <v>56</v>
      </c>
      <c r="E522" s="162" t="s">
        <v>4</v>
      </c>
      <c r="F522" s="162"/>
      <c r="G522" s="42"/>
      <c r="H522" s="42" t="s">
        <v>914</v>
      </c>
    </row>
    <row r="523" spans="1:8" x14ac:dyDescent="0.25">
      <c r="A523" s="162">
        <v>29</v>
      </c>
      <c r="B523" s="162" t="s">
        <v>555</v>
      </c>
      <c r="C523" s="162" t="s">
        <v>55</v>
      </c>
      <c r="D523" s="162" t="s">
        <v>56</v>
      </c>
      <c r="E523" s="162" t="s">
        <v>9</v>
      </c>
      <c r="F523" s="162" t="s">
        <v>2</v>
      </c>
      <c r="G523" s="42"/>
      <c r="H523" s="42" t="s">
        <v>941</v>
      </c>
    </row>
    <row r="524" spans="1:8" ht="90" x14ac:dyDescent="0.25">
      <c r="A524" s="162">
        <v>29</v>
      </c>
      <c r="B524" s="162" t="s">
        <v>556</v>
      </c>
      <c r="C524" s="162" t="s">
        <v>23</v>
      </c>
      <c r="D524" s="162" t="s">
        <v>24</v>
      </c>
      <c r="E524" s="162" t="s">
        <v>96</v>
      </c>
      <c r="F524" s="162" t="s">
        <v>26</v>
      </c>
      <c r="G524" s="42"/>
      <c r="H524" s="42" t="s">
        <v>916</v>
      </c>
    </row>
    <row r="525" spans="1:8" ht="74.25" customHeight="1" x14ac:dyDescent="0.25">
      <c r="A525" s="162">
        <v>29</v>
      </c>
      <c r="B525" s="162" t="s">
        <v>806</v>
      </c>
      <c r="C525" s="162" t="s">
        <v>55</v>
      </c>
      <c r="D525" s="162" t="s">
        <v>56</v>
      </c>
      <c r="E525" s="162" t="s">
        <v>4</v>
      </c>
      <c r="F525" s="162"/>
      <c r="G525" s="42"/>
      <c r="H525" s="42" t="s">
        <v>920</v>
      </c>
    </row>
    <row r="526" spans="1:8" ht="45" x14ac:dyDescent="0.25">
      <c r="A526" s="162">
        <v>29</v>
      </c>
      <c r="B526" s="162" t="s">
        <v>557</v>
      </c>
      <c r="C526" s="162" t="s">
        <v>36</v>
      </c>
      <c r="D526" s="162" t="s">
        <v>38</v>
      </c>
      <c r="E526" s="162" t="s">
        <v>3</v>
      </c>
      <c r="F526" s="162" t="s">
        <v>8</v>
      </c>
      <c r="G526" s="42"/>
      <c r="H526" s="42" t="s">
        <v>906</v>
      </c>
    </row>
    <row r="527" spans="1:8" ht="74.25" customHeight="1" x14ac:dyDescent="0.25">
      <c r="A527" s="162">
        <v>29</v>
      </c>
      <c r="B527" s="162" t="s">
        <v>558</v>
      </c>
      <c r="C527" s="162" t="s">
        <v>55</v>
      </c>
      <c r="D527" s="162" t="s">
        <v>56</v>
      </c>
      <c r="E527" s="162" t="s">
        <v>9</v>
      </c>
      <c r="F527" s="162" t="s">
        <v>5</v>
      </c>
      <c r="G527" s="42"/>
      <c r="H527" s="42" t="s">
        <v>914</v>
      </c>
    </row>
    <row r="528" spans="1:8" ht="45" x14ac:dyDescent="0.25">
      <c r="A528" s="162">
        <v>29</v>
      </c>
      <c r="B528" s="162" t="s">
        <v>559</v>
      </c>
      <c r="C528" s="162" t="s">
        <v>89</v>
      </c>
      <c r="D528" s="162" t="s">
        <v>90</v>
      </c>
      <c r="E528" s="162" t="s">
        <v>770</v>
      </c>
      <c r="F528" s="162"/>
      <c r="G528" s="42"/>
      <c r="H528" s="42" t="s">
        <v>908</v>
      </c>
    </row>
    <row r="529" spans="1:8" ht="75" x14ac:dyDescent="0.25">
      <c r="A529" s="162">
        <v>29</v>
      </c>
      <c r="B529" s="162" t="s">
        <v>807</v>
      </c>
      <c r="C529" s="182" t="s">
        <v>308</v>
      </c>
      <c r="D529" s="182" t="s">
        <v>309</v>
      </c>
      <c r="E529" s="182"/>
      <c r="F529" s="182" t="s">
        <v>474</v>
      </c>
      <c r="G529" s="42"/>
      <c r="H529" s="42" t="s">
        <v>914</v>
      </c>
    </row>
    <row r="530" spans="1:8" x14ac:dyDescent="0.25">
      <c r="A530" s="162">
        <v>29</v>
      </c>
      <c r="B530" s="162" t="s">
        <v>560</v>
      </c>
      <c r="C530" s="182"/>
      <c r="D530" s="182"/>
      <c r="E530" s="182"/>
      <c r="F530" s="182"/>
      <c r="G530" s="42"/>
      <c r="H530" s="42"/>
    </row>
    <row r="531" spans="1:8" ht="30" x14ac:dyDescent="0.25">
      <c r="A531" s="162">
        <v>29</v>
      </c>
      <c r="B531" s="162" t="s">
        <v>226</v>
      </c>
      <c r="C531" s="162"/>
      <c r="D531" s="162" t="s">
        <v>139</v>
      </c>
      <c r="E531" s="162" t="s">
        <v>815</v>
      </c>
      <c r="F531" s="162"/>
      <c r="G531" s="162" t="s">
        <v>761</v>
      </c>
      <c r="H531" s="42"/>
    </row>
    <row r="532" spans="1:8" ht="30" x14ac:dyDescent="0.25">
      <c r="A532" s="162">
        <v>29</v>
      </c>
      <c r="B532" s="162" t="s">
        <v>561</v>
      </c>
      <c r="C532" s="162" t="s">
        <v>55</v>
      </c>
      <c r="D532" s="162" t="s">
        <v>56</v>
      </c>
      <c r="E532" s="162" t="s">
        <v>57</v>
      </c>
      <c r="F532" s="162" t="s">
        <v>10</v>
      </c>
      <c r="G532" s="42"/>
      <c r="H532" s="42" t="s">
        <v>913</v>
      </c>
    </row>
    <row r="533" spans="1:8" ht="45" x14ac:dyDescent="0.25">
      <c r="A533" s="162">
        <v>29</v>
      </c>
      <c r="B533" s="162" t="s">
        <v>562</v>
      </c>
      <c r="C533" s="162" t="s">
        <v>23</v>
      </c>
      <c r="D533" s="162" t="s">
        <v>24</v>
      </c>
      <c r="E533" s="162" t="s">
        <v>96</v>
      </c>
      <c r="F533" s="162" t="s">
        <v>33</v>
      </c>
      <c r="G533" s="42"/>
      <c r="H533" s="42" t="s">
        <v>911</v>
      </c>
    </row>
    <row r="534" spans="1:8" ht="45" x14ac:dyDescent="0.25">
      <c r="A534" s="162">
        <v>29</v>
      </c>
      <c r="B534" s="162" t="s">
        <v>563</v>
      </c>
      <c r="C534" s="162" t="s">
        <v>55</v>
      </c>
      <c r="D534" s="162" t="s">
        <v>56</v>
      </c>
      <c r="E534" s="162" t="s">
        <v>57</v>
      </c>
      <c r="F534" s="162" t="s">
        <v>10</v>
      </c>
      <c r="G534" s="162" t="s">
        <v>783</v>
      </c>
      <c r="H534" s="162" t="s">
        <v>924</v>
      </c>
    </row>
    <row r="535" spans="1:8" ht="30" x14ac:dyDescent="0.25">
      <c r="A535" s="162">
        <v>29</v>
      </c>
      <c r="B535" s="162" t="s">
        <v>564</v>
      </c>
      <c r="C535" s="162" t="s">
        <v>49</v>
      </c>
      <c r="D535" s="162" t="s">
        <v>37</v>
      </c>
      <c r="E535" s="162" t="s">
        <v>12</v>
      </c>
      <c r="F535" s="162"/>
      <c r="G535" s="42"/>
      <c r="H535" s="42" t="s">
        <v>906</v>
      </c>
    </row>
    <row r="536" spans="1:8" ht="30" x14ac:dyDescent="0.25">
      <c r="A536" s="162">
        <v>29</v>
      </c>
      <c r="B536" s="162" t="s">
        <v>565</v>
      </c>
      <c r="C536" s="162"/>
      <c r="D536" s="162" t="s">
        <v>139</v>
      </c>
      <c r="E536" s="162" t="s">
        <v>815</v>
      </c>
      <c r="F536" s="162"/>
      <c r="G536" s="162" t="s">
        <v>760</v>
      </c>
      <c r="H536" s="42"/>
    </row>
    <row r="537" spans="1:8" ht="45" x14ac:dyDescent="0.25">
      <c r="A537" s="162">
        <v>29</v>
      </c>
      <c r="B537" s="162" t="s">
        <v>566</v>
      </c>
      <c r="C537" s="162" t="s">
        <v>36</v>
      </c>
      <c r="D537" s="162" t="s">
        <v>37</v>
      </c>
      <c r="E537" s="162" t="s">
        <v>770</v>
      </c>
      <c r="F537" s="162"/>
      <c r="G537" s="42"/>
      <c r="H537" s="42" t="s">
        <v>908</v>
      </c>
    </row>
    <row r="538" spans="1:8" ht="30" x14ac:dyDescent="0.25">
      <c r="A538" s="162">
        <v>29</v>
      </c>
      <c r="B538" s="162" t="s">
        <v>741</v>
      </c>
      <c r="C538" s="162" t="s">
        <v>55</v>
      </c>
      <c r="D538" s="162" t="s">
        <v>56</v>
      </c>
      <c r="E538" s="162" t="s">
        <v>1</v>
      </c>
      <c r="F538" s="162" t="s">
        <v>10</v>
      </c>
      <c r="G538" s="42"/>
      <c r="H538" s="42" t="s">
        <v>914</v>
      </c>
    </row>
    <row r="539" spans="1:8" ht="30" x14ac:dyDescent="0.25">
      <c r="A539" s="162">
        <v>29</v>
      </c>
      <c r="B539" s="162" t="s">
        <v>567</v>
      </c>
      <c r="C539" s="162" t="s">
        <v>40</v>
      </c>
      <c r="D539" s="162" t="s">
        <v>41</v>
      </c>
      <c r="E539" s="162" t="s">
        <v>42</v>
      </c>
      <c r="F539" s="162"/>
      <c r="G539" s="42"/>
      <c r="H539" s="42" t="s">
        <v>949</v>
      </c>
    </row>
    <row r="540" spans="1:8" ht="45" x14ac:dyDescent="0.25">
      <c r="A540" s="162">
        <v>29</v>
      </c>
      <c r="B540" s="162" t="s">
        <v>568</v>
      </c>
      <c r="C540" s="162" t="s">
        <v>55</v>
      </c>
      <c r="D540" s="162" t="s">
        <v>56</v>
      </c>
      <c r="E540" s="162" t="s">
        <v>11</v>
      </c>
      <c r="F540" s="162" t="s">
        <v>10</v>
      </c>
      <c r="G540" s="42"/>
      <c r="H540" s="42" t="s">
        <v>933</v>
      </c>
    </row>
    <row r="541" spans="1:8" ht="45" x14ac:dyDescent="0.25">
      <c r="A541" s="162">
        <v>29</v>
      </c>
      <c r="B541" s="162" t="s">
        <v>569</v>
      </c>
      <c r="C541" s="162" t="s">
        <v>28</v>
      </c>
      <c r="D541" s="162" t="s">
        <v>29</v>
      </c>
      <c r="E541" s="162" t="s">
        <v>229</v>
      </c>
      <c r="F541" s="162" t="s">
        <v>31</v>
      </c>
      <c r="G541" s="42"/>
      <c r="H541" s="42" t="s">
        <v>923</v>
      </c>
    </row>
    <row r="542" spans="1:8" ht="60" x14ac:dyDescent="0.25">
      <c r="A542" s="162">
        <v>30</v>
      </c>
      <c r="B542" s="162" t="s">
        <v>570</v>
      </c>
      <c r="C542" s="162" t="s">
        <v>55</v>
      </c>
      <c r="D542" s="162" t="s">
        <v>56</v>
      </c>
      <c r="E542" s="162" t="s">
        <v>57</v>
      </c>
      <c r="F542" s="162" t="s">
        <v>5</v>
      </c>
      <c r="G542" s="162" t="s">
        <v>787</v>
      </c>
      <c r="H542" s="162" t="s">
        <v>912</v>
      </c>
    </row>
    <row r="543" spans="1:8" x14ac:dyDescent="0.25">
      <c r="A543" s="162">
        <v>30</v>
      </c>
      <c r="B543" s="162" t="s">
        <v>571</v>
      </c>
      <c r="C543" s="162" t="s">
        <v>55</v>
      </c>
      <c r="D543" s="162" t="s">
        <v>56</v>
      </c>
      <c r="E543" s="162" t="s">
        <v>9</v>
      </c>
      <c r="F543" s="162" t="s">
        <v>10</v>
      </c>
      <c r="G543" s="42"/>
      <c r="H543" s="42" t="s">
        <v>920</v>
      </c>
    </row>
    <row r="544" spans="1:8" ht="30" x14ac:dyDescent="0.25">
      <c r="A544" s="162">
        <v>30</v>
      </c>
      <c r="B544" s="162" t="s">
        <v>747</v>
      </c>
      <c r="C544" s="162" t="s">
        <v>55</v>
      </c>
      <c r="D544" s="162" t="s">
        <v>56</v>
      </c>
      <c r="E544" s="162" t="s">
        <v>4</v>
      </c>
      <c r="F544" s="162"/>
      <c r="G544" s="42"/>
      <c r="H544" s="42" t="s">
        <v>915</v>
      </c>
    </row>
    <row r="545" spans="1:8" ht="30" x14ac:dyDescent="0.25">
      <c r="A545" s="162">
        <v>30</v>
      </c>
      <c r="B545" s="162" t="s">
        <v>572</v>
      </c>
      <c r="C545" s="162" t="s">
        <v>28</v>
      </c>
      <c r="D545" s="162" t="s">
        <v>29</v>
      </c>
      <c r="E545" s="162" t="s">
        <v>30</v>
      </c>
      <c r="F545" s="162" t="s">
        <v>31</v>
      </c>
      <c r="G545" s="42"/>
      <c r="H545" s="42" t="s">
        <v>907</v>
      </c>
    </row>
    <row r="546" spans="1:8" ht="44.25" customHeight="1" x14ac:dyDescent="0.25">
      <c r="A546" s="162">
        <v>30</v>
      </c>
      <c r="B546" s="162" t="s">
        <v>573</v>
      </c>
      <c r="C546" s="162" t="s">
        <v>55</v>
      </c>
      <c r="D546" s="162" t="s">
        <v>56</v>
      </c>
      <c r="E546" s="162" t="s">
        <v>11</v>
      </c>
      <c r="F546" s="162" t="s">
        <v>10</v>
      </c>
      <c r="G546" s="42"/>
      <c r="H546" s="42" t="s">
        <v>928</v>
      </c>
    </row>
    <row r="547" spans="1:8" ht="120" x14ac:dyDescent="0.25">
      <c r="A547" s="162">
        <v>30</v>
      </c>
      <c r="B547" s="162" t="s">
        <v>574</v>
      </c>
      <c r="C547" s="162" t="s">
        <v>55</v>
      </c>
      <c r="D547" s="162" t="s">
        <v>56</v>
      </c>
      <c r="E547" s="162" t="s">
        <v>57</v>
      </c>
      <c r="F547" s="162" t="s">
        <v>10</v>
      </c>
      <c r="G547" s="162" t="s">
        <v>784</v>
      </c>
      <c r="H547" s="162" t="s">
        <v>912</v>
      </c>
    </row>
    <row r="548" spans="1:8" ht="44.25" customHeight="1" x14ac:dyDescent="0.25">
      <c r="A548" s="162">
        <v>30</v>
      </c>
      <c r="B548" s="162" t="s">
        <v>575</v>
      </c>
      <c r="C548" s="162" t="s">
        <v>64</v>
      </c>
      <c r="D548" s="162" t="s">
        <v>65</v>
      </c>
      <c r="E548" s="162"/>
      <c r="F548" s="162" t="s">
        <v>177</v>
      </c>
      <c r="G548" s="42"/>
      <c r="H548" s="42" t="s">
        <v>65</v>
      </c>
    </row>
    <row r="549" spans="1:8" ht="150" x14ac:dyDescent="0.25">
      <c r="A549" s="162">
        <v>30</v>
      </c>
      <c r="B549" s="162" t="s">
        <v>576</v>
      </c>
      <c r="C549" s="162" t="s">
        <v>55</v>
      </c>
      <c r="D549" s="162" t="s">
        <v>56</v>
      </c>
      <c r="E549" s="162" t="s">
        <v>57</v>
      </c>
      <c r="F549" s="162" t="s">
        <v>10</v>
      </c>
      <c r="G549" s="42"/>
      <c r="H549" s="42" t="s">
        <v>914</v>
      </c>
    </row>
    <row r="550" spans="1:8" ht="45" x14ac:dyDescent="0.25">
      <c r="A550" s="162">
        <v>30</v>
      </c>
      <c r="B550" s="162" t="s">
        <v>577</v>
      </c>
      <c r="C550" s="162" t="s">
        <v>55</v>
      </c>
      <c r="D550" s="162" t="s">
        <v>56</v>
      </c>
      <c r="E550" s="162" t="s">
        <v>57</v>
      </c>
      <c r="F550" s="162" t="s">
        <v>10</v>
      </c>
      <c r="G550" s="42"/>
      <c r="H550" s="42" t="s">
        <v>914</v>
      </c>
    </row>
    <row r="551" spans="1:8" ht="75" x14ac:dyDescent="0.25">
      <c r="A551" s="162">
        <v>30</v>
      </c>
      <c r="B551" s="162" t="s">
        <v>578</v>
      </c>
      <c r="C551" s="162" t="s">
        <v>55</v>
      </c>
      <c r="D551" s="162" t="s">
        <v>56</v>
      </c>
      <c r="E551" s="162" t="s">
        <v>57</v>
      </c>
      <c r="F551" s="162" t="s">
        <v>5</v>
      </c>
      <c r="G551" s="42"/>
      <c r="H551" s="42" t="s">
        <v>914</v>
      </c>
    </row>
    <row r="552" spans="1:8" ht="45" x14ac:dyDescent="0.25">
      <c r="A552" s="162">
        <v>30</v>
      </c>
      <c r="B552" s="162" t="s">
        <v>579</v>
      </c>
      <c r="C552" s="162" t="s">
        <v>23</v>
      </c>
      <c r="D552" s="162" t="s">
        <v>24</v>
      </c>
      <c r="E552" s="162" t="s">
        <v>96</v>
      </c>
      <c r="F552" s="162" t="s">
        <v>26</v>
      </c>
      <c r="G552" s="42"/>
      <c r="H552" s="42" t="s">
        <v>916</v>
      </c>
    </row>
    <row r="553" spans="1:8" ht="30" x14ac:dyDescent="0.25">
      <c r="A553" s="162">
        <v>30</v>
      </c>
      <c r="B553" s="162" t="s">
        <v>580</v>
      </c>
      <c r="C553" s="162" t="s">
        <v>95</v>
      </c>
      <c r="D553" s="162" t="s">
        <v>24</v>
      </c>
      <c r="E553" s="162" t="s">
        <v>96</v>
      </c>
      <c r="F553" s="162" t="s">
        <v>26</v>
      </c>
      <c r="G553" s="42"/>
      <c r="H553" s="42" t="s">
        <v>906</v>
      </c>
    </row>
    <row r="554" spans="1:8" ht="30" x14ac:dyDescent="0.25">
      <c r="A554" s="162">
        <v>30</v>
      </c>
      <c r="B554" s="162" t="s">
        <v>581</v>
      </c>
      <c r="C554" s="162"/>
      <c r="D554" s="162" t="s">
        <v>51</v>
      </c>
      <c r="E554" s="162" t="s">
        <v>811</v>
      </c>
      <c r="F554" s="162"/>
      <c r="G554" s="162" t="s">
        <v>760</v>
      </c>
      <c r="H554" s="42"/>
    </row>
    <row r="555" spans="1:8" ht="135" x14ac:dyDescent="0.25">
      <c r="A555" s="162">
        <v>30</v>
      </c>
      <c r="B555" s="162" t="s">
        <v>582</v>
      </c>
      <c r="C555" s="162"/>
      <c r="D555" s="162" t="s">
        <v>51</v>
      </c>
      <c r="E555" s="162" t="s">
        <v>825</v>
      </c>
      <c r="F555" s="162" t="s">
        <v>813</v>
      </c>
      <c r="G555" s="162" t="s">
        <v>760</v>
      </c>
      <c r="H555" s="162"/>
    </row>
    <row r="556" spans="1:8" ht="60" x14ac:dyDescent="0.25">
      <c r="A556" s="162">
        <v>30</v>
      </c>
      <c r="B556" s="162" t="s">
        <v>583</v>
      </c>
      <c r="C556" s="162" t="s">
        <v>36</v>
      </c>
      <c r="D556" s="162" t="s">
        <v>38</v>
      </c>
      <c r="E556" s="162" t="s">
        <v>584</v>
      </c>
      <c r="F556" s="162" t="s">
        <v>8</v>
      </c>
      <c r="G556" s="42"/>
      <c r="H556" s="42" t="s">
        <v>911</v>
      </c>
    </row>
    <row r="557" spans="1:8" ht="45" x14ac:dyDescent="0.25">
      <c r="A557" s="162">
        <v>30</v>
      </c>
      <c r="B557" s="162" t="s">
        <v>585</v>
      </c>
      <c r="C557" s="162" t="s">
        <v>89</v>
      </c>
      <c r="D557" s="162" t="s">
        <v>90</v>
      </c>
      <c r="E557" s="162" t="s">
        <v>770</v>
      </c>
      <c r="F557" s="162"/>
      <c r="G557" s="42"/>
      <c r="H557" s="42" t="s">
        <v>908</v>
      </c>
    </row>
    <row r="558" spans="1:8" ht="30" x14ac:dyDescent="0.25">
      <c r="A558" s="162">
        <v>30</v>
      </c>
      <c r="B558" s="162" t="s">
        <v>586</v>
      </c>
      <c r="C558" s="162" t="s">
        <v>55</v>
      </c>
      <c r="D558" s="162" t="s">
        <v>56</v>
      </c>
      <c r="E558" s="162" t="s">
        <v>57</v>
      </c>
      <c r="F558" s="162" t="s">
        <v>5</v>
      </c>
      <c r="G558" s="42"/>
      <c r="H558" s="42" t="s">
        <v>914</v>
      </c>
    </row>
    <row r="559" spans="1:8" ht="60" x14ac:dyDescent="0.25">
      <c r="A559" s="162">
        <v>30</v>
      </c>
      <c r="B559" s="162" t="s">
        <v>587</v>
      </c>
      <c r="C559" s="162" t="s">
        <v>55</v>
      </c>
      <c r="D559" s="162" t="s">
        <v>56</v>
      </c>
      <c r="E559" s="162" t="s">
        <v>11</v>
      </c>
      <c r="F559" s="162" t="s">
        <v>10</v>
      </c>
      <c r="G559" s="42"/>
      <c r="H559" s="42" t="s">
        <v>914</v>
      </c>
    </row>
    <row r="560" spans="1:8" ht="30" x14ac:dyDescent="0.25">
      <c r="A560" s="162">
        <v>30</v>
      </c>
      <c r="B560" s="162" t="s">
        <v>588</v>
      </c>
      <c r="C560" s="162" t="s">
        <v>55</v>
      </c>
      <c r="D560" s="162" t="s">
        <v>56</v>
      </c>
      <c r="E560" s="162" t="s">
        <v>57</v>
      </c>
      <c r="F560" s="162" t="s">
        <v>2</v>
      </c>
      <c r="G560" s="42"/>
      <c r="H560" s="42" t="s">
        <v>915</v>
      </c>
    </row>
    <row r="561" spans="1:8" ht="45" x14ac:dyDescent="0.25">
      <c r="A561" s="162">
        <v>30</v>
      </c>
      <c r="B561" s="162" t="s">
        <v>589</v>
      </c>
      <c r="C561" s="162" t="s">
        <v>55</v>
      </c>
      <c r="D561" s="162" t="s">
        <v>56</v>
      </c>
      <c r="E561" s="162" t="s">
        <v>11</v>
      </c>
      <c r="F561" s="162" t="s">
        <v>5</v>
      </c>
      <c r="G561" s="42"/>
      <c r="H561" s="42" t="s">
        <v>914</v>
      </c>
    </row>
    <row r="562" spans="1:8" ht="60" x14ac:dyDescent="0.25">
      <c r="A562" s="162">
        <v>30</v>
      </c>
      <c r="B562" s="162" t="s">
        <v>808</v>
      </c>
      <c r="C562" s="162" t="s">
        <v>55</v>
      </c>
      <c r="D562" s="162" t="s">
        <v>56</v>
      </c>
      <c r="E562" s="162" t="s">
        <v>21</v>
      </c>
      <c r="F562" s="162" t="s">
        <v>5</v>
      </c>
      <c r="G562" s="42"/>
      <c r="H562" s="42" t="s">
        <v>914</v>
      </c>
    </row>
    <row r="563" spans="1:8" ht="45" x14ac:dyDescent="0.25">
      <c r="A563" s="162">
        <v>30</v>
      </c>
      <c r="B563" s="162" t="s">
        <v>590</v>
      </c>
      <c r="C563" s="162" t="s">
        <v>28</v>
      </c>
      <c r="D563" s="162" t="s">
        <v>29</v>
      </c>
      <c r="E563" s="162" t="s">
        <v>30</v>
      </c>
      <c r="F563" s="162" t="s">
        <v>31</v>
      </c>
      <c r="G563" s="42"/>
      <c r="H563" s="42" t="s">
        <v>923</v>
      </c>
    </row>
    <row r="564" spans="1:8" ht="45" x14ac:dyDescent="0.25">
      <c r="A564" s="162">
        <v>30</v>
      </c>
      <c r="B564" s="162" t="s">
        <v>591</v>
      </c>
      <c r="C564" s="162" t="s">
        <v>55</v>
      </c>
      <c r="D564" s="162" t="s">
        <v>56</v>
      </c>
      <c r="E564" s="162" t="s">
        <v>57</v>
      </c>
      <c r="F564" s="162" t="s">
        <v>10</v>
      </c>
      <c r="G564" s="42"/>
      <c r="H564" s="42" t="s">
        <v>915</v>
      </c>
    </row>
    <row r="565" spans="1:8" ht="135" x14ac:dyDescent="0.25">
      <c r="A565" s="162">
        <v>31</v>
      </c>
      <c r="B565" s="162" t="s">
        <v>592</v>
      </c>
      <c r="C565" s="162" t="s">
        <v>55</v>
      </c>
      <c r="D565" s="162" t="s">
        <v>56</v>
      </c>
      <c r="E565" s="162" t="s">
        <v>57</v>
      </c>
      <c r="F565" s="162" t="s">
        <v>5</v>
      </c>
      <c r="G565" s="42"/>
      <c r="H565" s="42" t="s">
        <v>914</v>
      </c>
    </row>
    <row r="566" spans="1:8" ht="269.25" customHeight="1" x14ac:dyDescent="0.25">
      <c r="A566" s="162">
        <v>31</v>
      </c>
      <c r="B566" s="162" t="s">
        <v>593</v>
      </c>
      <c r="C566" s="162" t="s">
        <v>55</v>
      </c>
      <c r="D566" s="162" t="s">
        <v>56</v>
      </c>
      <c r="E566" s="162" t="s">
        <v>594</v>
      </c>
      <c r="F566" s="162" t="s">
        <v>8</v>
      </c>
      <c r="G566" s="42"/>
      <c r="H566" s="42" t="s">
        <v>920</v>
      </c>
    </row>
    <row r="567" spans="1:8" ht="225" x14ac:dyDescent="0.25">
      <c r="A567" s="162">
        <v>31</v>
      </c>
      <c r="B567" s="162" t="s">
        <v>827</v>
      </c>
      <c r="C567" s="162" t="s">
        <v>36</v>
      </c>
      <c r="D567" s="162" t="s">
        <v>37</v>
      </c>
      <c r="E567" s="162" t="s">
        <v>776</v>
      </c>
      <c r="F567" s="162"/>
      <c r="G567" s="42"/>
      <c r="H567" s="42" t="s">
        <v>908</v>
      </c>
    </row>
    <row r="568" spans="1:8" ht="30" x14ac:dyDescent="0.25">
      <c r="A568" s="162">
        <v>31</v>
      </c>
      <c r="B568" s="162" t="s">
        <v>595</v>
      </c>
      <c r="C568" s="162" t="s">
        <v>55</v>
      </c>
      <c r="D568" s="162" t="s">
        <v>56</v>
      </c>
      <c r="E568" s="162" t="s">
        <v>11</v>
      </c>
      <c r="F568" s="162" t="s">
        <v>10</v>
      </c>
      <c r="G568" s="42"/>
      <c r="H568" s="42" t="s">
        <v>933</v>
      </c>
    </row>
    <row r="569" spans="1:8" ht="45" x14ac:dyDescent="0.25">
      <c r="A569" s="162">
        <v>31</v>
      </c>
      <c r="B569" s="162" t="s">
        <v>596</v>
      </c>
      <c r="C569" s="162" t="s">
        <v>36</v>
      </c>
      <c r="D569" s="162" t="s">
        <v>37</v>
      </c>
      <c r="E569" s="162" t="s">
        <v>770</v>
      </c>
      <c r="F569" s="162"/>
      <c r="G569" s="42"/>
      <c r="H569" s="42" t="s">
        <v>908</v>
      </c>
    </row>
    <row r="570" spans="1:8" ht="75" x14ac:dyDescent="0.25">
      <c r="A570" s="162">
        <v>31</v>
      </c>
      <c r="B570" s="162" t="s">
        <v>597</v>
      </c>
      <c r="C570" s="162" t="s">
        <v>55</v>
      </c>
      <c r="D570" s="162" t="s">
        <v>56</v>
      </c>
      <c r="E570" s="162" t="s">
        <v>57</v>
      </c>
      <c r="F570" s="162" t="s">
        <v>5</v>
      </c>
      <c r="G570" s="42"/>
      <c r="H570" s="42" t="s">
        <v>914</v>
      </c>
    </row>
    <row r="571" spans="1:8" ht="60" x14ac:dyDescent="0.25">
      <c r="A571" s="162">
        <v>31</v>
      </c>
      <c r="B571" s="162" t="s">
        <v>598</v>
      </c>
      <c r="C571" s="162" t="s">
        <v>23</v>
      </c>
      <c r="D571" s="162" t="s">
        <v>24</v>
      </c>
      <c r="E571" s="162" t="s">
        <v>25</v>
      </c>
      <c r="F571" s="162" t="s">
        <v>33</v>
      </c>
      <c r="G571" s="42"/>
      <c r="H571" s="42" t="s">
        <v>906</v>
      </c>
    </row>
    <row r="572" spans="1:8" ht="45" x14ac:dyDescent="0.25">
      <c r="A572" s="162">
        <v>32</v>
      </c>
      <c r="B572" s="162" t="s">
        <v>599</v>
      </c>
      <c r="C572" s="162" t="s">
        <v>89</v>
      </c>
      <c r="D572" s="162" t="s">
        <v>90</v>
      </c>
      <c r="E572" s="162" t="s">
        <v>770</v>
      </c>
      <c r="F572" s="162"/>
      <c r="G572" s="42"/>
      <c r="H572" s="42" t="s">
        <v>908</v>
      </c>
    </row>
    <row r="573" spans="1:8" ht="45" x14ac:dyDescent="0.25">
      <c r="A573" s="162">
        <v>32</v>
      </c>
      <c r="B573" s="162" t="s">
        <v>600</v>
      </c>
      <c r="C573" s="162" t="s">
        <v>23</v>
      </c>
      <c r="D573" s="162" t="s">
        <v>24</v>
      </c>
      <c r="E573" s="162" t="s">
        <v>96</v>
      </c>
      <c r="F573" s="162" t="s">
        <v>33</v>
      </c>
      <c r="G573" s="42"/>
      <c r="H573" s="42" t="s">
        <v>911</v>
      </c>
    </row>
    <row r="574" spans="1:8" ht="45" x14ac:dyDescent="0.25">
      <c r="A574" s="162">
        <v>32</v>
      </c>
      <c r="B574" s="162" t="s">
        <v>601</v>
      </c>
      <c r="C574" s="162" t="s">
        <v>28</v>
      </c>
      <c r="D574" s="162" t="s">
        <v>29</v>
      </c>
      <c r="E574" s="162" t="s">
        <v>30</v>
      </c>
      <c r="F574" s="162" t="s">
        <v>31</v>
      </c>
      <c r="G574" s="42"/>
      <c r="H574" s="42" t="s">
        <v>907</v>
      </c>
    </row>
    <row r="575" spans="1:8" ht="45" x14ac:dyDescent="0.25">
      <c r="A575" s="162">
        <v>32</v>
      </c>
      <c r="B575" s="162" t="s">
        <v>602</v>
      </c>
      <c r="C575" s="162" t="s">
        <v>36</v>
      </c>
      <c r="D575" s="162" t="s">
        <v>37</v>
      </c>
      <c r="E575" s="162" t="s">
        <v>770</v>
      </c>
      <c r="F575" s="162"/>
      <c r="G575" s="42"/>
      <c r="H575" s="42" t="s">
        <v>944</v>
      </c>
    </row>
    <row r="576" spans="1:8" ht="45" x14ac:dyDescent="0.25">
      <c r="A576" s="162">
        <v>32</v>
      </c>
      <c r="B576" s="162" t="s">
        <v>603</v>
      </c>
      <c r="C576" s="162" t="s">
        <v>85</v>
      </c>
      <c r="D576" s="162" t="s">
        <v>56</v>
      </c>
      <c r="E576" s="162" t="s">
        <v>1</v>
      </c>
      <c r="F576" s="162" t="s">
        <v>10</v>
      </c>
      <c r="G576" s="162" t="s">
        <v>756</v>
      </c>
      <c r="H576" s="162" t="s">
        <v>920</v>
      </c>
    </row>
    <row r="577" spans="1:8" ht="30" x14ac:dyDescent="0.25">
      <c r="A577" s="162">
        <v>32</v>
      </c>
      <c r="B577" s="187" t="s">
        <v>753</v>
      </c>
      <c r="C577" s="162"/>
      <c r="D577" s="162" t="s">
        <v>139</v>
      </c>
      <c r="E577" s="162" t="s">
        <v>815</v>
      </c>
      <c r="F577" s="162"/>
      <c r="G577" s="163" t="s">
        <v>761</v>
      </c>
      <c r="H577" s="42"/>
    </row>
    <row r="578" spans="1:8" ht="45" x14ac:dyDescent="0.25">
      <c r="A578" s="162">
        <v>32</v>
      </c>
      <c r="B578" s="162" t="s">
        <v>604</v>
      </c>
      <c r="C578" s="162" t="s">
        <v>36</v>
      </c>
      <c r="D578" s="162" t="s">
        <v>38</v>
      </c>
      <c r="E578" s="162" t="s">
        <v>3</v>
      </c>
      <c r="F578" s="162" t="s">
        <v>8</v>
      </c>
      <c r="G578" s="162" t="s">
        <v>780</v>
      </c>
      <c r="H578" s="162" t="s">
        <v>922</v>
      </c>
    </row>
    <row r="579" spans="1:8" ht="45" x14ac:dyDescent="0.25">
      <c r="A579" s="162">
        <v>32</v>
      </c>
      <c r="B579" s="162" t="s">
        <v>605</v>
      </c>
      <c r="C579" s="162" t="s">
        <v>55</v>
      </c>
      <c r="D579" s="162" t="s">
        <v>56</v>
      </c>
      <c r="E579" s="162" t="s">
        <v>57</v>
      </c>
      <c r="F579" s="162" t="s">
        <v>10</v>
      </c>
      <c r="G579" s="162" t="s">
        <v>784</v>
      </c>
      <c r="H579" s="162" t="s">
        <v>912</v>
      </c>
    </row>
    <row r="580" spans="1:8" ht="105" x14ac:dyDescent="0.25">
      <c r="A580" s="162">
        <v>32</v>
      </c>
      <c r="B580" s="162" t="s">
        <v>606</v>
      </c>
      <c r="C580" s="162" t="s">
        <v>55</v>
      </c>
      <c r="D580" s="162" t="s">
        <v>56</v>
      </c>
      <c r="E580" s="162" t="s">
        <v>57</v>
      </c>
      <c r="F580" s="162" t="s">
        <v>5</v>
      </c>
      <c r="G580" s="162" t="s">
        <v>784</v>
      </c>
      <c r="H580" s="162" t="s">
        <v>912</v>
      </c>
    </row>
    <row r="581" spans="1:8" ht="75" x14ac:dyDescent="0.25">
      <c r="A581" s="162">
        <v>32</v>
      </c>
      <c r="B581" s="162" t="s">
        <v>607</v>
      </c>
      <c r="C581" s="162" t="s">
        <v>55</v>
      </c>
      <c r="D581" s="162" t="s">
        <v>56</v>
      </c>
      <c r="E581" s="162" t="s">
        <v>57</v>
      </c>
      <c r="F581" s="162" t="s">
        <v>10</v>
      </c>
      <c r="G581" s="162" t="s">
        <v>783</v>
      </c>
      <c r="H581" s="162" t="s">
        <v>924</v>
      </c>
    </row>
    <row r="582" spans="1:8" ht="30" x14ac:dyDescent="0.25">
      <c r="A582" s="162">
        <v>33</v>
      </c>
      <c r="B582" s="162" t="s">
        <v>608</v>
      </c>
      <c r="C582" s="162" t="s">
        <v>55</v>
      </c>
      <c r="D582" s="162" t="s">
        <v>56</v>
      </c>
      <c r="E582" s="162" t="s">
        <v>224</v>
      </c>
      <c r="F582" s="162" t="s">
        <v>5</v>
      </c>
      <c r="G582" s="42"/>
      <c r="H582" s="162" t="s">
        <v>915</v>
      </c>
    </row>
    <row r="583" spans="1:8" ht="30" x14ac:dyDescent="0.25">
      <c r="A583" s="162">
        <v>33</v>
      </c>
      <c r="B583" s="162" t="s">
        <v>750</v>
      </c>
      <c r="C583" s="162" t="s">
        <v>55</v>
      </c>
      <c r="D583" s="162" t="s">
        <v>56</v>
      </c>
      <c r="E583" s="162" t="s">
        <v>4</v>
      </c>
      <c r="F583" s="162"/>
      <c r="G583" s="42"/>
      <c r="H583" s="162" t="s">
        <v>940</v>
      </c>
    </row>
    <row r="584" spans="1:8" ht="45" x14ac:dyDescent="0.25">
      <c r="A584" s="162">
        <v>33</v>
      </c>
      <c r="B584" s="162" t="s">
        <v>609</v>
      </c>
      <c r="C584" s="162" t="s">
        <v>49</v>
      </c>
      <c r="D584" s="162" t="s">
        <v>38</v>
      </c>
      <c r="E584" s="162" t="s">
        <v>3</v>
      </c>
      <c r="F584" s="162" t="s">
        <v>8</v>
      </c>
      <c r="G584" s="42"/>
      <c r="H584" s="162" t="s">
        <v>906</v>
      </c>
    </row>
    <row r="585" spans="1:8" ht="30" x14ac:dyDescent="0.25">
      <c r="A585" s="162">
        <v>33</v>
      </c>
      <c r="B585" s="162" t="s">
        <v>610</v>
      </c>
      <c r="C585" s="162"/>
      <c r="D585" s="162" t="s">
        <v>51</v>
      </c>
      <c r="E585" s="162" t="s">
        <v>811</v>
      </c>
      <c r="F585" s="162"/>
      <c r="G585" s="163" t="s">
        <v>760</v>
      </c>
      <c r="H585" s="42"/>
    </row>
    <row r="586" spans="1:8" ht="45" x14ac:dyDescent="0.25">
      <c r="A586" s="162">
        <v>33</v>
      </c>
      <c r="B586" s="162" t="s">
        <v>611</v>
      </c>
      <c r="C586" s="162" t="s">
        <v>89</v>
      </c>
      <c r="D586" s="162" t="s">
        <v>90</v>
      </c>
      <c r="E586" s="162" t="s">
        <v>770</v>
      </c>
      <c r="F586" s="162"/>
      <c r="G586" s="42"/>
      <c r="H586" s="162" t="s">
        <v>908</v>
      </c>
    </row>
    <row r="587" spans="1:8" ht="33" x14ac:dyDescent="0.25">
      <c r="A587" s="162">
        <v>33</v>
      </c>
      <c r="B587" s="162" t="s">
        <v>612</v>
      </c>
      <c r="C587" s="162" t="s">
        <v>95</v>
      </c>
      <c r="D587" s="162" t="s">
        <v>24</v>
      </c>
      <c r="E587" s="162" t="s">
        <v>613</v>
      </c>
      <c r="F587" s="162"/>
      <c r="G587" s="42"/>
      <c r="H587" s="162" t="s">
        <v>919</v>
      </c>
    </row>
    <row r="588" spans="1:8" ht="30" x14ac:dyDescent="0.25">
      <c r="A588" s="162">
        <v>33</v>
      </c>
      <c r="B588" s="162" t="s">
        <v>614</v>
      </c>
      <c r="C588" s="162"/>
      <c r="D588" s="162" t="s">
        <v>105</v>
      </c>
      <c r="E588" s="162"/>
      <c r="F588" s="162" t="s">
        <v>814</v>
      </c>
      <c r="G588" s="163" t="s">
        <v>760</v>
      </c>
      <c r="H588" s="42"/>
    </row>
    <row r="589" spans="1:8" ht="45" x14ac:dyDescent="0.25">
      <c r="A589" s="162">
        <v>33</v>
      </c>
      <c r="B589" s="162" t="s">
        <v>615</v>
      </c>
      <c r="C589" s="162"/>
      <c r="D589" s="162" t="s">
        <v>51</v>
      </c>
      <c r="E589" s="162" t="s">
        <v>812</v>
      </c>
      <c r="F589" s="162" t="s">
        <v>813</v>
      </c>
      <c r="G589" s="163" t="s">
        <v>760</v>
      </c>
      <c r="H589" s="42"/>
    </row>
    <row r="590" spans="1:8" ht="75" x14ac:dyDescent="0.25">
      <c r="A590" s="162">
        <v>33</v>
      </c>
      <c r="B590" s="162" t="s">
        <v>616</v>
      </c>
      <c r="C590" s="162" t="s">
        <v>55</v>
      </c>
      <c r="D590" s="162" t="s">
        <v>56</v>
      </c>
      <c r="E590" s="162" t="s">
        <v>9</v>
      </c>
      <c r="F590" s="162" t="s">
        <v>5</v>
      </c>
      <c r="G590" s="42"/>
      <c r="H590" s="42" t="s">
        <v>914</v>
      </c>
    </row>
    <row r="591" spans="1:8" ht="30" x14ac:dyDescent="0.25">
      <c r="A591" s="162">
        <v>33</v>
      </c>
      <c r="B591" s="162" t="s">
        <v>617</v>
      </c>
      <c r="C591" s="162" t="s">
        <v>55</v>
      </c>
      <c r="D591" s="162" t="s">
        <v>56</v>
      </c>
      <c r="E591" s="162" t="s">
        <v>224</v>
      </c>
      <c r="F591" s="162" t="s">
        <v>5</v>
      </c>
      <c r="G591" s="42"/>
      <c r="H591" s="42" t="s">
        <v>914</v>
      </c>
    </row>
    <row r="592" spans="1:8" ht="45" x14ac:dyDescent="0.25">
      <c r="A592" s="162">
        <v>33</v>
      </c>
      <c r="B592" s="162" t="s">
        <v>618</v>
      </c>
      <c r="C592" s="162" t="s">
        <v>55</v>
      </c>
      <c r="D592" s="162" t="s">
        <v>56</v>
      </c>
      <c r="E592" s="162" t="s">
        <v>242</v>
      </c>
      <c r="F592" s="162" t="s">
        <v>5</v>
      </c>
      <c r="G592" s="42"/>
      <c r="H592" s="42" t="s">
        <v>914</v>
      </c>
    </row>
    <row r="593" spans="1:8" ht="30" x14ac:dyDescent="0.25">
      <c r="A593" s="162">
        <v>33</v>
      </c>
      <c r="B593" s="162" t="s">
        <v>619</v>
      </c>
      <c r="C593" s="162" t="s">
        <v>55</v>
      </c>
      <c r="D593" s="162" t="s">
        <v>56</v>
      </c>
      <c r="E593" s="162" t="s">
        <v>57</v>
      </c>
      <c r="F593" s="162" t="s">
        <v>5</v>
      </c>
      <c r="G593" s="42"/>
      <c r="H593" s="42" t="s">
        <v>914</v>
      </c>
    </row>
    <row r="594" spans="1:8" ht="60" x14ac:dyDescent="0.25">
      <c r="A594" s="162">
        <v>34</v>
      </c>
      <c r="B594" s="162" t="s">
        <v>620</v>
      </c>
      <c r="C594" s="162" t="s">
        <v>55</v>
      </c>
      <c r="D594" s="162" t="s">
        <v>56</v>
      </c>
      <c r="E594" s="162" t="s">
        <v>57</v>
      </c>
      <c r="F594" s="162" t="s">
        <v>5</v>
      </c>
      <c r="G594" s="42"/>
      <c r="H594" s="42" t="s">
        <v>914</v>
      </c>
    </row>
    <row r="595" spans="1:8" ht="30" x14ac:dyDescent="0.25">
      <c r="A595" s="162">
        <v>34</v>
      </c>
      <c r="B595" s="162" t="s">
        <v>621</v>
      </c>
      <c r="C595" s="162" t="s">
        <v>55</v>
      </c>
      <c r="D595" s="162" t="s">
        <v>56</v>
      </c>
      <c r="E595" s="162" t="s">
        <v>57</v>
      </c>
      <c r="F595" s="162" t="s">
        <v>5</v>
      </c>
      <c r="G595" s="42"/>
      <c r="H595" s="42" t="s">
        <v>914</v>
      </c>
    </row>
    <row r="596" spans="1:8" ht="30" x14ac:dyDescent="0.25">
      <c r="A596" s="162">
        <v>34</v>
      </c>
      <c r="B596" s="162" t="s">
        <v>742</v>
      </c>
      <c r="C596" s="162" t="s">
        <v>55</v>
      </c>
      <c r="D596" s="162" t="s">
        <v>56</v>
      </c>
      <c r="E596" s="162" t="s">
        <v>224</v>
      </c>
      <c r="F596" s="162" t="s">
        <v>2</v>
      </c>
      <c r="G596" s="42"/>
      <c r="H596" s="42" t="s">
        <v>913</v>
      </c>
    </row>
    <row r="597" spans="1:8" ht="60" x14ac:dyDescent="0.25">
      <c r="A597" s="162">
        <v>34</v>
      </c>
      <c r="B597" s="162" t="s">
        <v>622</v>
      </c>
      <c r="C597" s="162" t="s">
        <v>55</v>
      </c>
      <c r="D597" s="162" t="s">
        <v>56</v>
      </c>
      <c r="E597" s="162" t="s">
        <v>57</v>
      </c>
      <c r="F597" s="162" t="s">
        <v>5</v>
      </c>
      <c r="G597" s="42"/>
      <c r="H597" s="42" t="s">
        <v>914</v>
      </c>
    </row>
    <row r="598" spans="1:8" ht="45" x14ac:dyDescent="0.25">
      <c r="A598" s="162">
        <v>34</v>
      </c>
      <c r="B598" s="162" t="s">
        <v>623</v>
      </c>
      <c r="C598" s="162" t="s">
        <v>28</v>
      </c>
      <c r="D598" s="162" t="s">
        <v>29</v>
      </c>
      <c r="E598" s="162" t="s">
        <v>30</v>
      </c>
      <c r="F598" s="162" t="s">
        <v>73</v>
      </c>
      <c r="G598" s="42"/>
      <c r="H598" s="42" t="s">
        <v>907</v>
      </c>
    </row>
    <row r="599" spans="1:8" ht="30" x14ac:dyDescent="0.25">
      <c r="A599" s="162">
        <v>34</v>
      </c>
      <c r="B599" s="162" t="s">
        <v>624</v>
      </c>
      <c r="C599" s="162" t="s">
        <v>55</v>
      </c>
      <c r="D599" s="162" t="s">
        <v>56</v>
      </c>
      <c r="E599" s="162" t="s">
        <v>57</v>
      </c>
      <c r="F599" s="162" t="s">
        <v>10</v>
      </c>
      <c r="G599" s="42"/>
      <c r="H599" s="42" t="s">
        <v>914</v>
      </c>
    </row>
    <row r="600" spans="1:8" ht="45" x14ac:dyDescent="0.25">
      <c r="A600" s="162">
        <v>34</v>
      </c>
      <c r="B600" s="162" t="s">
        <v>625</v>
      </c>
      <c r="C600" s="162" t="s">
        <v>258</v>
      </c>
      <c r="D600" s="162" t="s">
        <v>24</v>
      </c>
      <c r="E600" s="162" t="s">
        <v>96</v>
      </c>
      <c r="F600" s="162" t="s">
        <v>33</v>
      </c>
      <c r="G600" s="42"/>
      <c r="H600" s="42" t="s">
        <v>911</v>
      </c>
    </row>
    <row r="601" spans="1:8" ht="45" x14ac:dyDescent="0.25">
      <c r="A601" s="162">
        <v>34</v>
      </c>
      <c r="B601" s="162" t="s">
        <v>626</v>
      </c>
      <c r="C601" s="162" t="s">
        <v>36</v>
      </c>
      <c r="D601" s="162" t="s">
        <v>38</v>
      </c>
      <c r="E601" s="162" t="s">
        <v>3</v>
      </c>
      <c r="F601" s="162" t="s">
        <v>8</v>
      </c>
      <c r="G601" s="162" t="s">
        <v>794</v>
      </c>
      <c r="H601" s="162" t="s">
        <v>922</v>
      </c>
    </row>
    <row r="602" spans="1:8" ht="60" x14ac:dyDescent="0.25">
      <c r="A602" s="162">
        <v>34</v>
      </c>
      <c r="B602" s="162" t="s">
        <v>627</v>
      </c>
      <c r="C602" s="162" t="s">
        <v>55</v>
      </c>
      <c r="D602" s="162" t="s">
        <v>56</v>
      </c>
      <c r="E602" s="162" t="s">
        <v>11</v>
      </c>
      <c r="F602" s="162" t="s">
        <v>10</v>
      </c>
      <c r="G602" s="42"/>
      <c r="H602" s="42" t="s">
        <v>933</v>
      </c>
    </row>
    <row r="603" spans="1:8" ht="30" x14ac:dyDescent="0.25">
      <c r="A603" s="162">
        <v>34</v>
      </c>
      <c r="B603" s="162" t="s">
        <v>628</v>
      </c>
      <c r="C603" s="162"/>
      <c r="D603" s="162" t="s">
        <v>105</v>
      </c>
      <c r="E603" s="162"/>
      <c r="F603" s="162" t="s">
        <v>814</v>
      </c>
      <c r="G603" s="163" t="s">
        <v>760</v>
      </c>
      <c r="H603" s="42"/>
    </row>
    <row r="604" spans="1:8" ht="30" x14ac:dyDescent="0.25">
      <c r="A604" s="162">
        <v>34</v>
      </c>
      <c r="B604" s="162" t="s">
        <v>629</v>
      </c>
      <c r="C604" s="162" t="s">
        <v>55</v>
      </c>
      <c r="D604" s="162" t="s">
        <v>56</v>
      </c>
      <c r="E604" s="162" t="s">
        <v>11</v>
      </c>
      <c r="F604" s="162" t="s">
        <v>10</v>
      </c>
      <c r="G604" s="42"/>
      <c r="H604" s="42" t="s">
        <v>915</v>
      </c>
    </row>
    <row r="605" spans="1:8" ht="60" x14ac:dyDescent="0.25">
      <c r="A605" s="162">
        <v>34</v>
      </c>
      <c r="B605" s="162" t="s">
        <v>630</v>
      </c>
      <c r="C605" s="162" t="s">
        <v>28</v>
      </c>
      <c r="D605" s="162" t="s">
        <v>29</v>
      </c>
      <c r="E605" s="162" t="s">
        <v>30</v>
      </c>
      <c r="F605" s="162" t="s">
        <v>31</v>
      </c>
      <c r="G605" s="42"/>
      <c r="H605" s="42" t="s">
        <v>907</v>
      </c>
    </row>
    <row r="606" spans="1:8" ht="45" x14ac:dyDescent="0.25">
      <c r="A606" s="162">
        <v>34</v>
      </c>
      <c r="B606" s="162" t="s">
        <v>631</v>
      </c>
      <c r="C606" s="162" t="s">
        <v>23</v>
      </c>
      <c r="D606" s="162" t="s">
        <v>24</v>
      </c>
      <c r="E606" s="162" t="s">
        <v>25</v>
      </c>
      <c r="F606" s="162" t="s">
        <v>26</v>
      </c>
      <c r="G606" s="42"/>
      <c r="H606" s="42" t="s">
        <v>906</v>
      </c>
    </row>
    <row r="607" spans="1:8" ht="138" x14ac:dyDescent="0.25">
      <c r="A607" s="162">
        <v>34</v>
      </c>
      <c r="B607" s="162" t="s">
        <v>632</v>
      </c>
      <c r="C607" s="162" t="s">
        <v>85</v>
      </c>
      <c r="D607" s="162" t="s">
        <v>56</v>
      </c>
      <c r="E607" s="162" t="s">
        <v>57</v>
      </c>
      <c r="F607" s="162" t="s">
        <v>10</v>
      </c>
      <c r="G607" s="42"/>
      <c r="H607" s="42" t="s">
        <v>914</v>
      </c>
    </row>
    <row r="608" spans="1:8" ht="30" x14ac:dyDescent="0.25">
      <c r="A608" s="162">
        <v>34</v>
      </c>
      <c r="B608" s="162" t="s">
        <v>311</v>
      </c>
      <c r="C608" s="162"/>
      <c r="D608" s="162" t="s">
        <v>51</v>
      </c>
      <c r="E608" s="162" t="s">
        <v>811</v>
      </c>
      <c r="F608" s="162"/>
      <c r="G608" s="163" t="s">
        <v>761</v>
      </c>
      <c r="H608" s="42"/>
    </row>
    <row r="609" spans="1:8" ht="30" x14ac:dyDescent="0.25">
      <c r="A609" s="162">
        <v>34</v>
      </c>
      <c r="B609" s="162" t="s">
        <v>633</v>
      </c>
      <c r="C609" s="162" t="s">
        <v>28</v>
      </c>
      <c r="D609" s="162" t="s">
        <v>29</v>
      </c>
      <c r="E609" s="162" t="s">
        <v>30</v>
      </c>
      <c r="F609" s="162" t="s">
        <v>31</v>
      </c>
      <c r="G609" s="42"/>
      <c r="H609" s="42" t="s">
        <v>907</v>
      </c>
    </row>
    <row r="610" spans="1:8" ht="105" x14ac:dyDescent="0.25">
      <c r="A610" s="162">
        <v>34</v>
      </c>
      <c r="B610" s="162" t="s">
        <v>634</v>
      </c>
      <c r="C610" s="162" t="s">
        <v>55</v>
      </c>
      <c r="D610" s="162" t="s">
        <v>56</v>
      </c>
      <c r="E610" s="162" t="s">
        <v>57</v>
      </c>
      <c r="F610" s="162" t="s">
        <v>5</v>
      </c>
      <c r="G610" s="42"/>
      <c r="H610" s="42" t="s">
        <v>914</v>
      </c>
    </row>
    <row r="611" spans="1:8" ht="30" x14ac:dyDescent="0.25">
      <c r="A611" s="162">
        <v>34</v>
      </c>
      <c r="B611" s="162" t="s">
        <v>635</v>
      </c>
      <c r="C611" s="162" t="s">
        <v>55</v>
      </c>
      <c r="D611" s="162" t="s">
        <v>56</v>
      </c>
      <c r="E611" s="162" t="s">
        <v>1</v>
      </c>
      <c r="F611" s="162" t="s">
        <v>2</v>
      </c>
      <c r="G611" s="42"/>
      <c r="H611" s="42" t="s">
        <v>933</v>
      </c>
    </row>
    <row r="612" spans="1:8" ht="44.25" customHeight="1" x14ac:dyDescent="0.25">
      <c r="A612" s="162">
        <v>34</v>
      </c>
      <c r="B612" s="182" t="s">
        <v>636</v>
      </c>
      <c r="C612" s="182" t="s">
        <v>55</v>
      </c>
      <c r="D612" s="182" t="s">
        <v>56</v>
      </c>
      <c r="E612" s="182" t="s">
        <v>11</v>
      </c>
      <c r="F612" s="162" t="s">
        <v>5</v>
      </c>
      <c r="G612" s="42"/>
      <c r="H612" s="42" t="s">
        <v>914</v>
      </c>
    </row>
    <row r="613" spans="1:8" x14ac:dyDescent="0.25">
      <c r="A613" s="162">
        <v>34</v>
      </c>
      <c r="B613" s="182"/>
      <c r="C613" s="182"/>
      <c r="D613" s="182"/>
      <c r="E613" s="182"/>
      <c r="F613" s="162" t="s">
        <v>10</v>
      </c>
      <c r="G613" s="42"/>
      <c r="H613" s="42"/>
    </row>
    <row r="614" spans="1:8" ht="45" x14ac:dyDescent="0.25">
      <c r="A614" s="162">
        <v>34</v>
      </c>
      <c r="B614" s="162" t="s">
        <v>637</v>
      </c>
      <c r="C614" s="162" t="s">
        <v>55</v>
      </c>
      <c r="D614" s="162" t="s">
        <v>56</v>
      </c>
      <c r="E614" s="162" t="s">
        <v>11</v>
      </c>
      <c r="F614" s="162" t="s">
        <v>10</v>
      </c>
      <c r="G614" s="42"/>
      <c r="H614" s="42" t="s">
        <v>915</v>
      </c>
    </row>
    <row r="615" spans="1:8" ht="30" x14ac:dyDescent="0.25">
      <c r="A615" s="162">
        <v>34</v>
      </c>
      <c r="B615" s="162" t="s">
        <v>638</v>
      </c>
      <c r="C615" s="162" t="s">
        <v>40</v>
      </c>
      <c r="D615" s="162" t="s">
        <v>41</v>
      </c>
      <c r="E615" s="162" t="s">
        <v>42</v>
      </c>
      <c r="F615" s="162"/>
      <c r="G615" s="42"/>
      <c r="H615" s="42" t="s">
        <v>939</v>
      </c>
    </row>
    <row r="616" spans="1:8" ht="150" x14ac:dyDescent="0.25">
      <c r="A616" s="162">
        <v>35</v>
      </c>
      <c r="B616" s="162" t="s">
        <v>639</v>
      </c>
      <c r="C616" s="162" t="s">
        <v>36</v>
      </c>
      <c r="D616" s="162" t="s">
        <v>38</v>
      </c>
      <c r="E616" s="162" t="s">
        <v>3</v>
      </c>
      <c r="F616" s="162" t="s">
        <v>8</v>
      </c>
      <c r="G616" s="162" t="s">
        <v>794</v>
      </c>
      <c r="H616" s="162" t="s">
        <v>922</v>
      </c>
    </row>
    <row r="617" spans="1:8" ht="30" x14ac:dyDescent="0.25">
      <c r="A617" s="162">
        <v>35</v>
      </c>
      <c r="B617" s="162" t="s">
        <v>640</v>
      </c>
      <c r="C617" s="162" t="s">
        <v>85</v>
      </c>
      <c r="D617" s="162" t="s">
        <v>56</v>
      </c>
      <c r="E617" s="162" t="s">
        <v>224</v>
      </c>
      <c r="F617" s="162" t="s">
        <v>10</v>
      </c>
      <c r="G617" s="42"/>
      <c r="H617" s="42" t="s">
        <v>915</v>
      </c>
    </row>
    <row r="618" spans="1:8" ht="30" x14ac:dyDescent="0.25">
      <c r="A618" s="162">
        <v>35</v>
      </c>
      <c r="B618" s="162" t="s">
        <v>53</v>
      </c>
      <c r="C618" s="162"/>
      <c r="D618" s="162" t="s">
        <v>51</v>
      </c>
      <c r="E618" s="162" t="s">
        <v>811</v>
      </c>
      <c r="F618" s="162"/>
      <c r="G618" s="163" t="s">
        <v>761</v>
      </c>
      <c r="H618" s="42"/>
    </row>
    <row r="619" spans="1:8" ht="31.5" x14ac:dyDescent="0.25">
      <c r="A619" s="162">
        <v>35</v>
      </c>
      <c r="B619" s="180" t="s">
        <v>754</v>
      </c>
      <c r="C619" s="162" t="s">
        <v>55</v>
      </c>
      <c r="D619" s="162" t="s">
        <v>56</v>
      </c>
      <c r="E619" s="162" t="s">
        <v>4</v>
      </c>
      <c r="F619" s="162"/>
      <c r="G619" s="42"/>
      <c r="H619" s="42" t="s">
        <v>940</v>
      </c>
    </row>
    <row r="620" spans="1:8" ht="30" x14ac:dyDescent="0.25">
      <c r="A620" s="162">
        <v>35</v>
      </c>
      <c r="B620" s="162" t="s">
        <v>641</v>
      </c>
      <c r="C620" s="162" t="s">
        <v>28</v>
      </c>
      <c r="D620" s="162" t="s">
        <v>29</v>
      </c>
      <c r="E620" s="162" t="s">
        <v>30</v>
      </c>
      <c r="F620" s="162" t="s">
        <v>184</v>
      </c>
      <c r="G620" s="42"/>
      <c r="H620" s="42" t="s">
        <v>918</v>
      </c>
    </row>
    <row r="621" spans="1:8" ht="30" x14ac:dyDescent="0.25">
      <c r="A621" s="162">
        <v>35</v>
      </c>
      <c r="B621" s="162" t="s">
        <v>642</v>
      </c>
      <c r="C621" s="162" t="s">
        <v>40</v>
      </c>
      <c r="D621" s="162" t="s">
        <v>41</v>
      </c>
      <c r="E621" s="162" t="s">
        <v>42</v>
      </c>
      <c r="F621" s="162"/>
      <c r="G621" s="42"/>
      <c r="H621" s="42" t="s">
        <v>943</v>
      </c>
    </row>
    <row r="622" spans="1:8" ht="45" x14ac:dyDescent="0.25">
      <c r="A622" s="162">
        <v>35</v>
      </c>
      <c r="B622" s="162" t="s">
        <v>643</v>
      </c>
      <c r="C622" s="162" t="s">
        <v>55</v>
      </c>
      <c r="D622" s="162" t="s">
        <v>56</v>
      </c>
      <c r="E622" s="162" t="s">
        <v>11</v>
      </c>
      <c r="F622" s="162" t="s">
        <v>10</v>
      </c>
      <c r="G622" s="42"/>
      <c r="H622" s="42" t="s">
        <v>915</v>
      </c>
    </row>
    <row r="623" spans="1:8" ht="60" x14ac:dyDescent="0.25">
      <c r="A623" s="162">
        <v>35</v>
      </c>
      <c r="B623" s="162" t="s">
        <v>644</v>
      </c>
      <c r="C623" s="162" t="s">
        <v>258</v>
      </c>
      <c r="D623" s="162" t="s">
        <v>24</v>
      </c>
      <c r="E623" s="162" t="s">
        <v>96</v>
      </c>
      <c r="F623" s="162" t="s">
        <v>33</v>
      </c>
      <c r="G623" s="42"/>
      <c r="H623" s="42" t="s">
        <v>916</v>
      </c>
    </row>
    <row r="624" spans="1:8" ht="60" x14ac:dyDescent="0.25">
      <c r="A624" s="162">
        <v>35</v>
      </c>
      <c r="B624" s="162" t="s">
        <v>645</v>
      </c>
      <c r="C624" s="162"/>
      <c r="D624" s="162" t="s">
        <v>105</v>
      </c>
      <c r="E624" s="162"/>
      <c r="F624" s="162" t="s">
        <v>820</v>
      </c>
      <c r="G624" s="163" t="s">
        <v>760</v>
      </c>
      <c r="H624" s="42"/>
    </row>
    <row r="625" spans="1:8" ht="45" x14ac:dyDescent="0.25">
      <c r="A625" s="162">
        <v>35</v>
      </c>
      <c r="B625" s="162" t="s">
        <v>646</v>
      </c>
      <c r="C625" s="162" t="s">
        <v>89</v>
      </c>
      <c r="D625" s="162" t="s">
        <v>90</v>
      </c>
      <c r="E625" s="162" t="s">
        <v>770</v>
      </c>
      <c r="F625" s="162"/>
      <c r="G625" s="42"/>
      <c r="H625" s="42" t="s">
        <v>908</v>
      </c>
    </row>
    <row r="626" spans="1:8" ht="60" x14ac:dyDescent="0.25">
      <c r="A626" s="162">
        <v>35</v>
      </c>
      <c r="B626" s="162" t="s">
        <v>647</v>
      </c>
      <c r="C626" s="162" t="s">
        <v>28</v>
      </c>
      <c r="D626" s="162" t="s">
        <v>29</v>
      </c>
      <c r="E626" s="162" t="s">
        <v>30</v>
      </c>
      <c r="F626" s="162" t="s">
        <v>73</v>
      </c>
      <c r="G626" s="42"/>
      <c r="H626" s="42" t="s">
        <v>907</v>
      </c>
    </row>
    <row r="627" spans="1:8" ht="18" x14ac:dyDescent="0.25">
      <c r="A627" s="162">
        <v>35</v>
      </c>
      <c r="B627" s="162" t="s">
        <v>648</v>
      </c>
      <c r="C627" s="162" t="s">
        <v>55</v>
      </c>
      <c r="D627" s="162" t="s">
        <v>56</v>
      </c>
      <c r="E627" s="162" t="s">
        <v>9</v>
      </c>
      <c r="F627" s="162" t="s">
        <v>5</v>
      </c>
      <c r="G627" s="42"/>
      <c r="H627" s="42" t="s">
        <v>914</v>
      </c>
    </row>
    <row r="628" spans="1:8" ht="45" x14ac:dyDescent="0.25">
      <c r="A628" s="162">
        <v>35</v>
      </c>
      <c r="B628" s="162" t="s">
        <v>649</v>
      </c>
      <c r="C628" s="162" t="s">
        <v>28</v>
      </c>
      <c r="D628" s="162" t="s">
        <v>29</v>
      </c>
      <c r="E628" s="162" t="s">
        <v>30</v>
      </c>
      <c r="F628" s="162" t="s">
        <v>73</v>
      </c>
      <c r="G628" s="42"/>
      <c r="H628" s="42" t="s">
        <v>907</v>
      </c>
    </row>
    <row r="629" spans="1:8" ht="45" x14ac:dyDescent="0.25">
      <c r="A629" s="162">
        <v>35</v>
      </c>
      <c r="B629" s="162" t="s">
        <v>384</v>
      </c>
      <c r="C629" s="162"/>
      <c r="D629" s="162" t="s">
        <v>51</v>
      </c>
      <c r="E629" s="162" t="s">
        <v>811</v>
      </c>
      <c r="F629" s="162"/>
      <c r="G629" s="163" t="s">
        <v>797</v>
      </c>
      <c r="H629" s="42"/>
    </row>
    <row r="630" spans="1:8" ht="45" x14ac:dyDescent="0.25">
      <c r="A630" s="162">
        <v>35</v>
      </c>
      <c r="B630" s="162" t="s">
        <v>650</v>
      </c>
      <c r="C630" s="162" t="s">
        <v>49</v>
      </c>
      <c r="D630" s="162" t="s">
        <v>763</v>
      </c>
      <c r="E630" s="162"/>
      <c r="F630" s="162" t="s">
        <v>8</v>
      </c>
      <c r="G630" s="162" t="s">
        <v>794</v>
      </c>
      <c r="H630" s="42" t="s">
        <v>922</v>
      </c>
    </row>
    <row r="631" spans="1:8" x14ac:dyDescent="0.25">
      <c r="A631" s="162">
        <v>35</v>
      </c>
      <c r="B631" s="182" t="s">
        <v>809</v>
      </c>
      <c r="C631" s="182" t="s">
        <v>55</v>
      </c>
      <c r="D631" s="182" t="s">
        <v>56</v>
      </c>
      <c r="E631" s="162" t="s">
        <v>1</v>
      </c>
      <c r="F631" s="182" t="s">
        <v>5</v>
      </c>
      <c r="G631" s="42"/>
      <c r="H631" s="42" t="s">
        <v>913</v>
      </c>
    </row>
    <row r="632" spans="1:8" ht="89.25" customHeight="1" x14ac:dyDescent="0.25">
      <c r="A632" s="162">
        <v>35</v>
      </c>
      <c r="B632" s="182"/>
      <c r="C632" s="182"/>
      <c r="D632" s="182"/>
      <c r="E632" s="162" t="s">
        <v>4</v>
      </c>
      <c r="F632" s="182"/>
      <c r="G632" s="42"/>
      <c r="H632" s="42"/>
    </row>
    <row r="633" spans="1:8" ht="30" x14ac:dyDescent="0.25">
      <c r="A633" s="162">
        <v>35</v>
      </c>
      <c r="B633" s="162" t="s">
        <v>53</v>
      </c>
      <c r="C633" s="162" t="s">
        <v>55</v>
      </c>
      <c r="D633" s="162" t="s">
        <v>56</v>
      </c>
      <c r="E633" s="162" t="s">
        <v>4</v>
      </c>
      <c r="F633" s="162"/>
      <c r="G633" s="42"/>
      <c r="H633" s="42" t="s">
        <v>913</v>
      </c>
    </row>
    <row r="634" spans="1:8" ht="89.25" customHeight="1" x14ac:dyDescent="0.25">
      <c r="A634" s="162">
        <v>35</v>
      </c>
      <c r="B634" s="162" t="s">
        <v>651</v>
      </c>
      <c r="C634" s="162" t="s">
        <v>55</v>
      </c>
      <c r="D634" s="162" t="s">
        <v>56</v>
      </c>
      <c r="E634" s="162" t="s">
        <v>11</v>
      </c>
      <c r="F634" s="162" t="s">
        <v>5</v>
      </c>
      <c r="G634" s="42"/>
      <c r="H634" s="42" t="s">
        <v>914</v>
      </c>
    </row>
    <row r="635" spans="1:8" ht="30" x14ac:dyDescent="0.25">
      <c r="A635" s="162">
        <v>35</v>
      </c>
      <c r="B635" s="162" t="s">
        <v>810</v>
      </c>
      <c r="C635" s="162" t="s">
        <v>55</v>
      </c>
      <c r="D635" s="162" t="s">
        <v>56</v>
      </c>
      <c r="E635" s="162" t="s">
        <v>11</v>
      </c>
      <c r="F635" s="162" t="s">
        <v>5</v>
      </c>
      <c r="G635" s="42"/>
      <c r="H635" s="42" t="s">
        <v>913</v>
      </c>
    </row>
    <row r="636" spans="1:8" ht="45" x14ac:dyDescent="0.25">
      <c r="A636" s="162">
        <v>35</v>
      </c>
      <c r="B636" s="162" t="s">
        <v>652</v>
      </c>
      <c r="C636" s="162" t="s">
        <v>55</v>
      </c>
      <c r="D636" s="162" t="s">
        <v>56</v>
      </c>
      <c r="E636" s="162" t="s">
        <v>57</v>
      </c>
      <c r="F636" s="162" t="s">
        <v>10</v>
      </c>
      <c r="G636" s="42"/>
      <c r="H636" s="42" t="s">
        <v>933</v>
      </c>
    </row>
    <row r="637" spans="1:8" ht="30" x14ac:dyDescent="0.25">
      <c r="A637" s="162">
        <v>35</v>
      </c>
      <c r="B637" s="162" t="s">
        <v>653</v>
      </c>
      <c r="C637" s="162" t="s">
        <v>28</v>
      </c>
      <c r="D637" s="162" t="s">
        <v>29</v>
      </c>
      <c r="E637" s="162" t="s">
        <v>30</v>
      </c>
      <c r="F637" s="162" t="s">
        <v>31</v>
      </c>
      <c r="G637" s="42"/>
      <c r="H637" s="42" t="s">
        <v>907</v>
      </c>
    </row>
    <row r="638" spans="1:8" ht="45" x14ac:dyDescent="0.25">
      <c r="A638" s="162">
        <v>35</v>
      </c>
      <c r="B638" s="162" t="s">
        <v>654</v>
      </c>
      <c r="C638" s="162" t="s">
        <v>55</v>
      </c>
      <c r="D638" s="162" t="s">
        <v>56</v>
      </c>
      <c r="E638" s="162" t="s">
        <v>57</v>
      </c>
      <c r="F638" s="162" t="s">
        <v>10</v>
      </c>
      <c r="G638" s="42"/>
      <c r="H638" s="42" t="s">
        <v>914</v>
      </c>
    </row>
    <row r="639" spans="1:8" ht="30" x14ac:dyDescent="0.25">
      <c r="A639" s="162">
        <v>35</v>
      </c>
      <c r="B639" s="162" t="s">
        <v>655</v>
      </c>
      <c r="C639" s="162" t="s">
        <v>40</v>
      </c>
      <c r="D639" s="162" t="s">
        <v>41</v>
      </c>
      <c r="E639" s="162" t="s">
        <v>42</v>
      </c>
      <c r="F639" s="162"/>
      <c r="G639" s="42"/>
      <c r="H639" s="42" t="s">
        <v>939</v>
      </c>
    </row>
    <row r="640" spans="1:8" ht="120" x14ac:dyDescent="0.25">
      <c r="A640" s="162">
        <v>35</v>
      </c>
      <c r="B640" s="162" t="s">
        <v>656</v>
      </c>
      <c r="C640" s="162" t="s">
        <v>55</v>
      </c>
      <c r="D640" s="162" t="s">
        <v>56</v>
      </c>
      <c r="E640" s="162" t="s">
        <v>242</v>
      </c>
      <c r="F640" s="162" t="s">
        <v>5</v>
      </c>
      <c r="G640" s="42"/>
      <c r="H640" s="42" t="s">
        <v>914</v>
      </c>
    </row>
    <row r="641" spans="1:8" ht="60" x14ac:dyDescent="0.25">
      <c r="A641" s="162">
        <v>35</v>
      </c>
      <c r="B641" s="162" t="s">
        <v>657</v>
      </c>
      <c r="C641" s="162" t="s">
        <v>55</v>
      </c>
      <c r="D641" s="162" t="s">
        <v>56</v>
      </c>
      <c r="E641" s="162" t="s">
        <v>11</v>
      </c>
      <c r="F641" s="162" t="s">
        <v>5</v>
      </c>
      <c r="G641" s="42"/>
      <c r="H641" s="42" t="s">
        <v>914</v>
      </c>
    </row>
    <row r="642" spans="1:8" ht="45" x14ac:dyDescent="0.25">
      <c r="A642" s="162">
        <v>35</v>
      </c>
      <c r="B642" s="162" t="s">
        <v>658</v>
      </c>
      <c r="C642" s="162" t="s">
        <v>36</v>
      </c>
      <c r="D642" s="162" t="s">
        <v>37</v>
      </c>
      <c r="E642" s="162" t="s">
        <v>770</v>
      </c>
      <c r="F642" s="162"/>
      <c r="G642" s="42"/>
      <c r="H642" s="42" t="s">
        <v>908</v>
      </c>
    </row>
    <row r="643" spans="1:8" ht="30" x14ac:dyDescent="0.25">
      <c r="A643" s="162">
        <v>35</v>
      </c>
      <c r="B643" s="162" t="s">
        <v>659</v>
      </c>
      <c r="C643" s="162" t="s">
        <v>85</v>
      </c>
      <c r="D643" s="162" t="s">
        <v>56</v>
      </c>
      <c r="E643" s="162" t="s">
        <v>57</v>
      </c>
      <c r="F643" s="162" t="s">
        <v>10</v>
      </c>
      <c r="G643" s="42"/>
      <c r="H643" s="42" t="s">
        <v>915</v>
      </c>
    </row>
    <row r="644" spans="1:8" ht="30" x14ac:dyDescent="0.25">
      <c r="A644" s="162">
        <v>35</v>
      </c>
      <c r="B644" s="162" t="s">
        <v>384</v>
      </c>
      <c r="C644" s="162"/>
      <c r="D644" s="162" t="s">
        <v>51</v>
      </c>
      <c r="E644" s="162" t="s">
        <v>811</v>
      </c>
      <c r="F644" s="162"/>
      <c r="G644" s="163" t="s">
        <v>761</v>
      </c>
      <c r="H644" s="42"/>
    </row>
    <row r="645" spans="1:8" ht="30" x14ac:dyDescent="0.25">
      <c r="A645" s="162">
        <v>35</v>
      </c>
      <c r="B645" s="162" t="s">
        <v>660</v>
      </c>
      <c r="C645" s="162" t="s">
        <v>55</v>
      </c>
      <c r="D645" s="162" t="s">
        <v>56</v>
      </c>
      <c r="E645" s="162" t="s">
        <v>11</v>
      </c>
      <c r="F645" s="162" t="s">
        <v>5</v>
      </c>
      <c r="G645" s="42"/>
      <c r="H645" s="42" t="s">
        <v>914</v>
      </c>
    </row>
    <row r="646" spans="1:8" ht="45" x14ac:dyDescent="0.25">
      <c r="A646" s="162">
        <v>35</v>
      </c>
      <c r="B646" s="162" t="s">
        <v>661</v>
      </c>
      <c r="C646" s="162" t="s">
        <v>55</v>
      </c>
      <c r="D646" s="162" t="s">
        <v>56</v>
      </c>
      <c r="E646" s="162" t="s">
        <v>11</v>
      </c>
      <c r="F646" s="162" t="s">
        <v>5</v>
      </c>
      <c r="G646" s="162" t="s">
        <v>900</v>
      </c>
      <c r="H646" s="162" t="s">
        <v>912</v>
      </c>
    </row>
    <row r="647" spans="1:8" ht="33" x14ac:dyDescent="0.25">
      <c r="A647" s="162">
        <v>35</v>
      </c>
      <c r="B647" s="162" t="s">
        <v>662</v>
      </c>
      <c r="C647" s="162" t="s">
        <v>55</v>
      </c>
      <c r="D647" s="162" t="s">
        <v>56</v>
      </c>
      <c r="E647" s="162" t="s">
        <v>224</v>
      </c>
      <c r="F647" s="162" t="s">
        <v>10</v>
      </c>
      <c r="G647" s="42"/>
      <c r="H647" s="42" t="s">
        <v>913</v>
      </c>
    </row>
    <row r="648" spans="1:8" ht="30" x14ac:dyDescent="0.25">
      <c r="A648" s="162">
        <v>35</v>
      </c>
      <c r="B648" s="162" t="s">
        <v>663</v>
      </c>
      <c r="C648" s="162" t="s">
        <v>55</v>
      </c>
      <c r="D648" s="162" t="s">
        <v>56</v>
      </c>
      <c r="E648" s="162" t="s">
        <v>4</v>
      </c>
      <c r="F648" s="162"/>
      <c r="G648" s="42"/>
      <c r="H648" s="42" t="s">
        <v>915</v>
      </c>
    </row>
    <row r="649" spans="1:8" ht="30" x14ac:dyDescent="0.25">
      <c r="A649" s="162">
        <v>35</v>
      </c>
      <c r="B649" s="162" t="s">
        <v>664</v>
      </c>
      <c r="C649" s="162" t="s">
        <v>55</v>
      </c>
      <c r="D649" s="162" t="s">
        <v>56</v>
      </c>
      <c r="E649" s="162" t="s">
        <v>1</v>
      </c>
      <c r="F649" s="162" t="s">
        <v>10</v>
      </c>
      <c r="G649" s="42"/>
      <c r="H649" s="42" t="s">
        <v>914</v>
      </c>
    </row>
    <row r="650" spans="1:8" ht="78" x14ac:dyDescent="0.25">
      <c r="A650" s="162">
        <v>35</v>
      </c>
      <c r="B650" s="162" t="s">
        <v>665</v>
      </c>
      <c r="C650" s="162" t="s">
        <v>28</v>
      </c>
      <c r="D650" s="162" t="s">
        <v>29</v>
      </c>
      <c r="E650" s="162" t="s">
        <v>30</v>
      </c>
      <c r="F650" s="162" t="s">
        <v>31</v>
      </c>
      <c r="G650" s="42"/>
      <c r="H650" s="42" t="s">
        <v>907</v>
      </c>
    </row>
    <row r="651" spans="1:8" ht="105" x14ac:dyDescent="0.25">
      <c r="A651" s="162">
        <v>36</v>
      </c>
      <c r="B651" s="162" t="s">
        <v>755</v>
      </c>
      <c r="C651" s="162" t="s">
        <v>28</v>
      </c>
      <c r="D651" s="162" t="s">
        <v>29</v>
      </c>
      <c r="E651" s="162" t="s">
        <v>30</v>
      </c>
      <c r="F651" s="162" t="s">
        <v>31</v>
      </c>
      <c r="G651" s="42"/>
      <c r="H651" s="42" t="s">
        <v>918</v>
      </c>
    </row>
    <row r="652" spans="1:8" ht="30" x14ac:dyDescent="0.25">
      <c r="A652" s="162">
        <v>36</v>
      </c>
      <c r="B652" s="162" t="s">
        <v>901</v>
      </c>
      <c r="C652" s="162" t="s">
        <v>55</v>
      </c>
      <c r="D652" s="162" t="s">
        <v>56</v>
      </c>
      <c r="E652" s="162" t="s">
        <v>57</v>
      </c>
      <c r="F652" s="162" t="s">
        <v>10</v>
      </c>
      <c r="G652" s="42"/>
      <c r="H652" s="42" t="s">
        <v>913</v>
      </c>
    </row>
    <row r="653" spans="1:8" x14ac:dyDescent="0.25">
      <c r="A653" s="162">
        <v>36</v>
      </c>
      <c r="B653" s="162" t="s">
        <v>666</v>
      </c>
      <c r="C653" s="162" t="s">
        <v>55</v>
      </c>
      <c r="D653" s="162" t="s">
        <v>56</v>
      </c>
      <c r="E653" s="162"/>
      <c r="F653" s="162" t="s">
        <v>2</v>
      </c>
      <c r="G653" s="42"/>
      <c r="H653" s="42" t="s">
        <v>913</v>
      </c>
    </row>
    <row r="654" spans="1:8" ht="60" x14ac:dyDescent="0.25">
      <c r="A654" s="162">
        <v>36</v>
      </c>
      <c r="B654" s="162" t="s">
        <v>667</v>
      </c>
      <c r="C654" s="162" t="s">
        <v>36</v>
      </c>
      <c r="D654" s="162" t="s">
        <v>38</v>
      </c>
      <c r="E654" s="162" t="s">
        <v>3</v>
      </c>
      <c r="F654" s="162" t="s">
        <v>8</v>
      </c>
      <c r="G654" s="42"/>
      <c r="H654" s="42" t="s">
        <v>906</v>
      </c>
    </row>
    <row r="655" spans="1:8" ht="45" x14ac:dyDescent="0.25">
      <c r="A655" s="162">
        <v>36</v>
      </c>
      <c r="B655" s="162" t="s">
        <v>668</v>
      </c>
      <c r="C655" s="162" t="s">
        <v>55</v>
      </c>
      <c r="D655" s="162" t="s">
        <v>56</v>
      </c>
      <c r="E655" s="162" t="s">
        <v>57</v>
      </c>
      <c r="F655" s="162" t="s">
        <v>10</v>
      </c>
      <c r="G655" s="42"/>
      <c r="H655" s="42" t="s">
        <v>914</v>
      </c>
    </row>
    <row r="656" spans="1:8" ht="30" x14ac:dyDescent="0.25">
      <c r="A656" s="162">
        <v>36</v>
      </c>
      <c r="B656" s="162" t="s">
        <v>669</v>
      </c>
      <c r="C656" s="162" t="s">
        <v>55</v>
      </c>
      <c r="D656" s="162" t="s">
        <v>56</v>
      </c>
      <c r="E656" s="162" t="s">
        <v>57</v>
      </c>
      <c r="F656" s="162" t="s">
        <v>670</v>
      </c>
      <c r="G656" s="42"/>
      <c r="H656" s="42" t="s">
        <v>914</v>
      </c>
    </row>
    <row r="657" spans="1:8" ht="45" x14ac:dyDescent="0.25">
      <c r="A657" s="162">
        <v>36</v>
      </c>
      <c r="B657" s="162" t="s">
        <v>671</v>
      </c>
      <c r="C657" s="162" t="s">
        <v>55</v>
      </c>
      <c r="D657" s="162" t="s">
        <v>56</v>
      </c>
      <c r="E657" s="162" t="s">
        <v>57</v>
      </c>
      <c r="F657" s="162" t="s">
        <v>5</v>
      </c>
      <c r="G657" s="42"/>
      <c r="H657" s="42" t="s">
        <v>914</v>
      </c>
    </row>
    <row r="658" spans="1:8" ht="30" x14ac:dyDescent="0.25">
      <c r="A658" s="162">
        <v>36</v>
      </c>
      <c r="B658" s="162" t="s">
        <v>672</v>
      </c>
      <c r="C658" s="162" t="s">
        <v>36</v>
      </c>
      <c r="D658" s="162" t="s">
        <v>38</v>
      </c>
      <c r="E658" s="162" t="s">
        <v>3</v>
      </c>
      <c r="F658" s="162" t="s">
        <v>7</v>
      </c>
      <c r="G658" s="42"/>
      <c r="H658" s="42" t="s">
        <v>906</v>
      </c>
    </row>
    <row r="659" spans="1:8" ht="63" x14ac:dyDescent="0.25">
      <c r="A659" s="162">
        <v>36</v>
      </c>
      <c r="B659" s="162" t="s">
        <v>673</v>
      </c>
      <c r="C659" s="162" t="s">
        <v>36</v>
      </c>
      <c r="D659" s="162" t="s">
        <v>38</v>
      </c>
      <c r="E659" s="162" t="s">
        <v>3</v>
      </c>
      <c r="F659" s="162" t="s">
        <v>8</v>
      </c>
      <c r="G659" s="42"/>
      <c r="H659" s="42" t="s">
        <v>906</v>
      </c>
    </row>
    <row r="660" spans="1:8" ht="45" x14ac:dyDescent="0.25">
      <c r="A660" s="162">
        <v>36</v>
      </c>
      <c r="B660" s="162" t="s">
        <v>674</v>
      </c>
      <c r="C660" s="162" t="s">
        <v>36</v>
      </c>
      <c r="D660" s="162" t="s">
        <v>37</v>
      </c>
      <c r="E660" s="162" t="s">
        <v>770</v>
      </c>
      <c r="F660" s="162"/>
      <c r="G660" s="42"/>
      <c r="H660" s="42" t="s">
        <v>908</v>
      </c>
    </row>
    <row r="661" spans="1:8" ht="30.75" x14ac:dyDescent="0.25">
      <c r="A661" s="162">
        <v>36</v>
      </c>
      <c r="B661" s="185" t="s">
        <v>675</v>
      </c>
      <c r="C661" s="162" t="s">
        <v>85</v>
      </c>
      <c r="D661" s="162" t="s">
        <v>56</v>
      </c>
      <c r="E661" s="162" t="s">
        <v>1</v>
      </c>
      <c r="F661" s="162" t="s">
        <v>2</v>
      </c>
      <c r="G661" s="42"/>
      <c r="H661" s="42" t="s">
        <v>914</v>
      </c>
    </row>
    <row r="662" spans="1:8" ht="30" x14ac:dyDescent="0.25">
      <c r="A662" s="162">
        <v>36</v>
      </c>
      <c r="B662" s="185" t="s">
        <v>226</v>
      </c>
      <c r="C662" s="162"/>
      <c r="D662" s="162" t="s">
        <v>139</v>
      </c>
      <c r="E662" s="162" t="s">
        <v>815</v>
      </c>
      <c r="F662" s="162"/>
      <c r="G662" s="163" t="s">
        <v>761</v>
      </c>
      <c r="H662" s="42"/>
    </row>
    <row r="663" spans="1:8" ht="30" x14ac:dyDescent="0.25">
      <c r="A663" s="162">
        <v>36</v>
      </c>
      <c r="B663" s="162" t="s">
        <v>676</v>
      </c>
      <c r="C663" s="182" t="s">
        <v>453</v>
      </c>
      <c r="D663" s="182" t="s">
        <v>309</v>
      </c>
      <c r="E663" s="182"/>
      <c r="F663" s="162" t="s">
        <v>310</v>
      </c>
      <c r="G663" s="42"/>
      <c r="H663" s="42" t="s">
        <v>914</v>
      </c>
    </row>
    <row r="664" spans="1:8" ht="30" x14ac:dyDescent="0.25">
      <c r="A664" s="162">
        <v>36</v>
      </c>
      <c r="B664" s="162" t="s">
        <v>677</v>
      </c>
      <c r="C664" s="182"/>
      <c r="D664" s="182"/>
      <c r="E664" s="182"/>
      <c r="F664" s="162" t="s">
        <v>206</v>
      </c>
      <c r="G664" s="42"/>
      <c r="H664" s="42"/>
    </row>
    <row r="665" spans="1:8" ht="45" x14ac:dyDescent="0.25">
      <c r="A665" s="162">
        <v>36</v>
      </c>
      <c r="B665" s="162" t="s">
        <v>678</v>
      </c>
      <c r="C665" s="162" t="s">
        <v>55</v>
      </c>
      <c r="D665" s="162" t="s">
        <v>56</v>
      </c>
      <c r="E665" s="162" t="s">
        <v>57</v>
      </c>
      <c r="F665" s="162" t="s">
        <v>5</v>
      </c>
      <c r="G665" s="42"/>
      <c r="H665" s="42" t="s">
        <v>914</v>
      </c>
    </row>
    <row r="666" spans="1:8" ht="45" x14ac:dyDescent="0.25">
      <c r="A666" s="162">
        <v>36</v>
      </c>
      <c r="B666" s="162" t="s">
        <v>679</v>
      </c>
      <c r="C666" s="182" t="s">
        <v>55</v>
      </c>
      <c r="D666" s="182" t="s">
        <v>56</v>
      </c>
      <c r="E666" s="182" t="s">
        <v>242</v>
      </c>
      <c r="F666" s="182" t="s">
        <v>5</v>
      </c>
      <c r="G666" s="42"/>
      <c r="H666" s="42" t="s">
        <v>914</v>
      </c>
    </row>
    <row r="667" spans="1:8" x14ac:dyDescent="0.25">
      <c r="A667" s="162">
        <v>36</v>
      </c>
      <c r="B667" s="162" t="s">
        <v>680</v>
      </c>
      <c r="C667" s="182"/>
      <c r="D667" s="182"/>
      <c r="E667" s="182"/>
      <c r="F667" s="182"/>
      <c r="G667" s="42"/>
      <c r="H667" s="42"/>
    </row>
    <row r="668" spans="1:8" ht="75" x14ac:dyDescent="0.25">
      <c r="A668" s="162">
        <v>36</v>
      </c>
      <c r="B668" s="162" t="s">
        <v>681</v>
      </c>
      <c r="C668" s="162" t="s">
        <v>55</v>
      </c>
      <c r="D668" s="162" t="s">
        <v>56</v>
      </c>
      <c r="E668" s="162" t="s">
        <v>242</v>
      </c>
      <c r="F668" s="162" t="s">
        <v>10</v>
      </c>
      <c r="G668" s="42"/>
      <c r="H668" s="42" t="s">
        <v>914</v>
      </c>
    </row>
    <row r="669" spans="1:8" ht="60" x14ac:dyDescent="0.25">
      <c r="A669" s="162">
        <v>36</v>
      </c>
      <c r="B669" s="162" t="s">
        <v>682</v>
      </c>
      <c r="C669" s="162" t="s">
        <v>55</v>
      </c>
      <c r="D669" s="162" t="s">
        <v>56</v>
      </c>
      <c r="E669" s="162" t="s">
        <v>57</v>
      </c>
      <c r="F669" s="162" t="s">
        <v>10</v>
      </c>
      <c r="G669" s="42"/>
      <c r="H669" s="42" t="s">
        <v>915</v>
      </c>
    </row>
    <row r="670" spans="1:8" ht="45" x14ac:dyDescent="0.25">
      <c r="A670" s="162">
        <v>37</v>
      </c>
      <c r="B670" s="162" t="s">
        <v>683</v>
      </c>
      <c r="C670" s="162" t="s">
        <v>55</v>
      </c>
      <c r="D670" s="162" t="s">
        <v>56</v>
      </c>
      <c r="E670" s="162" t="s">
        <v>57</v>
      </c>
      <c r="F670" s="162" t="s">
        <v>10</v>
      </c>
      <c r="G670" s="42"/>
      <c r="H670" s="42" t="s">
        <v>914</v>
      </c>
    </row>
    <row r="671" spans="1:8" ht="60" x14ac:dyDescent="0.25">
      <c r="A671" s="162">
        <v>37</v>
      </c>
      <c r="B671" s="162" t="s">
        <v>684</v>
      </c>
      <c r="C671" s="162" t="s">
        <v>23</v>
      </c>
      <c r="D671" s="162" t="s">
        <v>24</v>
      </c>
      <c r="E671" s="162" t="s">
        <v>96</v>
      </c>
      <c r="F671" s="162" t="s">
        <v>33</v>
      </c>
      <c r="G671" s="42"/>
      <c r="H671" s="42" t="s">
        <v>906</v>
      </c>
    </row>
    <row r="672" spans="1:8" ht="120" x14ac:dyDescent="0.25">
      <c r="A672" s="162">
        <v>37</v>
      </c>
      <c r="B672" s="162" t="s">
        <v>685</v>
      </c>
      <c r="C672" s="162" t="s">
        <v>55</v>
      </c>
      <c r="D672" s="162" t="s">
        <v>56</v>
      </c>
      <c r="E672" s="162" t="s">
        <v>57</v>
      </c>
      <c r="F672" s="162" t="s">
        <v>5</v>
      </c>
      <c r="G672" s="42"/>
      <c r="H672" s="42" t="s">
        <v>914</v>
      </c>
    </row>
    <row r="673" spans="1:8" ht="60" x14ac:dyDescent="0.25">
      <c r="A673" s="162">
        <v>37</v>
      </c>
      <c r="B673" s="162" t="s">
        <v>686</v>
      </c>
      <c r="C673" s="162" t="s">
        <v>55</v>
      </c>
      <c r="D673" s="162" t="s">
        <v>56</v>
      </c>
      <c r="E673" s="162" t="s">
        <v>11</v>
      </c>
      <c r="F673" s="162" t="s">
        <v>5</v>
      </c>
      <c r="G673" s="42"/>
      <c r="H673" s="42" t="s">
        <v>914</v>
      </c>
    </row>
    <row r="674" spans="1:8" ht="30" x14ac:dyDescent="0.25">
      <c r="A674" s="162">
        <v>37</v>
      </c>
      <c r="B674" s="162" t="s">
        <v>687</v>
      </c>
      <c r="C674" s="162" t="s">
        <v>55</v>
      </c>
      <c r="D674" s="162" t="s">
        <v>56</v>
      </c>
      <c r="E674" s="162" t="s">
        <v>11</v>
      </c>
      <c r="F674" s="162" t="s">
        <v>10</v>
      </c>
      <c r="G674" s="42"/>
      <c r="H674" s="42" t="s">
        <v>914</v>
      </c>
    </row>
    <row r="675" spans="1:8" ht="30" x14ac:dyDescent="0.25">
      <c r="A675" s="162">
        <v>37</v>
      </c>
      <c r="B675" s="162" t="s">
        <v>688</v>
      </c>
      <c r="C675" s="162" t="s">
        <v>55</v>
      </c>
      <c r="D675" s="162" t="s">
        <v>56</v>
      </c>
      <c r="E675" s="162" t="s">
        <v>4</v>
      </c>
      <c r="F675" s="162"/>
      <c r="G675" s="42"/>
      <c r="H675" s="42" t="s">
        <v>913</v>
      </c>
    </row>
    <row r="676" spans="1:8" ht="45" x14ac:dyDescent="0.25">
      <c r="A676" s="162">
        <v>37</v>
      </c>
      <c r="B676" s="162" t="s">
        <v>689</v>
      </c>
      <c r="C676" s="162" t="s">
        <v>55</v>
      </c>
      <c r="D676" s="162" t="s">
        <v>56</v>
      </c>
      <c r="E676" s="162" t="s">
        <v>57</v>
      </c>
      <c r="F676" s="162" t="s">
        <v>5</v>
      </c>
      <c r="G676" s="42"/>
      <c r="H676" s="42" t="s">
        <v>914</v>
      </c>
    </row>
    <row r="677" spans="1:8" ht="60" x14ac:dyDescent="0.25">
      <c r="A677" s="162">
        <v>37</v>
      </c>
      <c r="B677" s="162" t="s">
        <v>690</v>
      </c>
      <c r="C677" s="162" t="s">
        <v>28</v>
      </c>
      <c r="D677" s="162" t="s">
        <v>29</v>
      </c>
      <c r="E677" s="162" t="s">
        <v>30</v>
      </c>
      <c r="F677" s="162" t="s">
        <v>31</v>
      </c>
      <c r="G677" s="42"/>
      <c r="H677" s="42" t="s">
        <v>907</v>
      </c>
    </row>
    <row r="678" spans="1:8" ht="45" x14ac:dyDescent="0.25">
      <c r="A678" s="162">
        <v>37</v>
      </c>
      <c r="B678" s="162" t="s">
        <v>691</v>
      </c>
      <c r="C678" s="162" t="s">
        <v>55</v>
      </c>
      <c r="D678" s="162" t="s">
        <v>56</v>
      </c>
      <c r="E678" s="162" t="s">
        <v>11</v>
      </c>
      <c r="F678" s="162" t="s">
        <v>10</v>
      </c>
      <c r="G678" s="162" t="s">
        <v>784</v>
      </c>
      <c r="H678" s="42" t="s">
        <v>912</v>
      </c>
    </row>
    <row r="679" spans="1:8" ht="45" x14ac:dyDescent="0.25">
      <c r="A679" s="162">
        <v>37</v>
      </c>
      <c r="B679" s="162" t="s">
        <v>692</v>
      </c>
      <c r="C679" s="162" t="s">
        <v>36</v>
      </c>
      <c r="D679" s="162" t="s">
        <v>37</v>
      </c>
      <c r="E679" s="162" t="s">
        <v>770</v>
      </c>
      <c r="F679" s="162"/>
      <c r="G679" s="162" t="s">
        <v>756</v>
      </c>
      <c r="H679" s="42" t="s">
        <v>919</v>
      </c>
    </row>
    <row r="680" spans="1:8" ht="30" x14ac:dyDescent="0.25">
      <c r="A680" s="162">
        <v>37</v>
      </c>
      <c r="B680" s="162" t="s">
        <v>743</v>
      </c>
      <c r="C680" s="162" t="s">
        <v>55</v>
      </c>
      <c r="D680" s="162" t="s">
        <v>56</v>
      </c>
      <c r="E680" s="162" t="s">
        <v>11</v>
      </c>
      <c r="F680" s="162" t="s">
        <v>10</v>
      </c>
      <c r="G680" s="42"/>
      <c r="H680" s="42" t="s">
        <v>913</v>
      </c>
    </row>
    <row r="681" spans="1:8" ht="45" x14ac:dyDescent="0.25">
      <c r="A681" s="162">
        <v>37</v>
      </c>
      <c r="B681" s="162" t="s">
        <v>744</v>
      </c>
      <c r="C681" s="162" t="s">
        <v>36</v>
      </c>
      <c r="D681" s="162" t="s">
        <v>37</v>
      </c>
      <c r="E681" s="162" t="s">
        <v>770</v>
      </c>
      <c r="F681" s="162"/>
      <c r="G681" s="42"/>
      <c r="H681" s="42" t="s">
        <v>908</v>
      </c>
    </row>
    <row r="682" spans="1:8" ht="363" x14ac:dyDescent="0.25">
      <c r="A682" s="162">
        <v>37</v>
      </c>
      <c r="B682" s="162" t="s">
        <v>745</v>
      </c>
      <c r="C682" s="162" t="s">
        <v>115</v>
      </c>
      <c r="D682" s="162" t="s">
        <v>116</v>
      </c>
      <c r="E682" s="162" t="s">
        <v>117</v>
      </c>
      <c r="F682" s="162" t="s">
        <v>118</v>
      </c>
      <c r="G682" s="42"/>
      <c r="H682" s="42" t="s">
        <v>916</v>
      </c>
    </row>
    <row r="683" spans="1:8" ht="60" x14ac:dyDescent="0.25">
      <c r="A683" s="162">
        <v>37</v>
      </c>
      <c r="B683" s="162" t="s">
        <v>693</v>
      </c>
      <c r="C683" s="162" t="s">
        <v>55</v>
      </c>
      <c r="D683" s="162" t="s">
        <v>56</v>
      </c>
      <c r="E683" s="162" t="s">
        <v>11</v>
      </c>
      <c r="F683" s="162" t="s">
        <v>5</v>
      </c>
      <c r="G683" s="42"/>
      <c r="H683" s="42" t="s">
        <v>914</v>
      </c>
    </row>
    <row r="684" spans="1:8" ht="90" x14ac:dyDescent="0.25">
      <c r="A684" s="162">
        <v>37</v>
      </c>
      <c r="B684" s="162" t="s">
        <v>694</v>
      </c>
      <c r="C684" s="162" t="s">
        <v>413</v>
      </c>
      <c r="D684" s="162" t="s">
        <v>90</v>
      </c>
      <c r="E684" s="162" t="s">
        <v>774</v>
      </c>
      <c r="F684" s="162"/>
      <c r="G684" s="42"/>
      <c r="H684" s="42" t="s">
        <v>916</v>
      </c>
    </row>
    <row r="685" spans="1:8" ht="75" x14ac:dyDescent="0.25">
      <c r="A685" s="162">
        <v>37</v>
      </c>
      <c r="B685" s="162" t="s">
        <v>695</v>
      </c>
      <c r="C685" s="162"/>
      <c r="D685" s="162" t="s">
        <v>105</v>
      </c>
      <c r="E685" s="162" t="s">
        <v>811</v>
      </c>
      <c r="F685" s="162"/>
      <c r="G685" s="163" t="s">
        <v>798</v>
      </c>
      <c r="H685" s="42"/>
    </row>
    <row r="686" spans="1:8" ht="30" x14ac:dyDescent="0.25">
      <c r="A686" s="162">
        <v>37</v>
      </c>
      <c r="B686" s="162" t="s">
        <v>436</v>
      </c>
      <c r="C686" s="162" t="s">
        <v>36</v>
      </c>
      <c r="D686" s="162" t="s">
        <v>37</v>
      </c>
      <c r="E686" s="162" t="s">
        <v>774</v>
      </c>
      <c r="F686" s="162"/>
      <c r="G686" s="42"/>
      <c r="H686" s="42" t="s">
        <v>919</v>
      </c>
    </row>
    <row r="687" spans="1:8" ht="45" x14ac:dyDescent="0.25">
      <c r="A687" s="162">
        <v>37</v>
      </c>
      <c r="B687" s="162" t="s">
        <v>778</v>
      </c>
      <c r="C687" s="162" t="s">
        <v>49</v>
      </c>
      <c r="D687" s="162" t="s">
        <v>37</v>
      </c>
      <c r="E687" s="162" t="s">
        <v>12</v>
      </c>
      <c r="F687" s="162"/>
      <c r="G687" s="162" t="s">
        <v>779</v>
      </c>
      <c r="H687" s="163" t="s">
        <v>935</v>
      </c>
    </row>
    <row r="688" spans="1:8" ht="30" x14ac:dyDescent="0.25">
      <c r="A688" s="162">
        <v>37</v>
      </c>
      <c r="B688" s="162" t="s">
        <v>777</v>
      </c>
      <c r="C688" s="162" t="s">
        <v>36</v>
      </c>
      <c r="D688" s="162" t="s">
        <v>763</v>
      </c>
      <c r="E688" s="162"/>
      <c r="F688" s="162" t="s">
        <v>106</v>
      </c>
      <c r="G688" s="162"/>
      <c r="H688" s="42" t="s">
        <v>763</v>
      </c>
    </row>
    <row r="689" spans="1:8" ht="30" x14ac:dyDescent="0.25">
      <c r="A689" s="162">
        <v>37</v>
      </c>
      <c r="B689" s="162" t="s">
        <v>696</v>
      </c>
      <c r="C689" s="162"/>
      <c r="D689" s="162" t="s">
        <v>51</v>
      </c>
      <c r="E689" s="162" t="s">
        <v>811</v>
      </c>
      <c r="F689" s="162"/>
      <c r="G689" s="163" t="s">
        <v>760</v>
      </c>
      <c r="H689" s="42"/>
    </row>
    <row r="690" spans="1:8" x14ac:dyDescent="0.25">
      <c r="A690" s="162">
        <v>37</v>
      </c>
      <c r="B690" s="162" t="s">
        <v>697</v>
      </c>
      <c r="C690" s="162" t="s">
        <v>55</v>
      </c>
      <c r="D690" s="162" t="s">
        <v>56</v>
      </c>
      <c r="E690" s="162" t="s">
        <v>242</v>
      </c>
      <c r="F690" s="162" t="s">
        <v>10</v>
      </c>
      <c r="G690" s="42"/>
      <c r="H690" s="42" t="s">
        <v>914</v>
      </c>
    </row>
    <row r="691" spans="1:8" ht="30" x14ac:dyDescent="0.25">
      <c r="A691" s="162">
        <v>37</v>
      </c>
      <c r="B691" s="162" t="s">
        <v>698</v>
      </c>
      <c r="C691" s="162" t="s">
        <v>55</v>
      </c>
      <c r="D691" s="162" t="s">
        <v>56</v>
      </c>
      <c r="E691" s="162" t="s">
        <v>11</v>
      </c>
      <c r="F691" s="162" t="s">
        <v>10</v>
      </c>
      <c r="G691" s="42"/>
      <c r="H691" s="42" t="s">
        <v>933</v>
      </c>
    </row>
    <row r="692" spans="1:8" ht="45" x14ac:dyDescent="0.25">
      <c r="A692" s="162">
        <v>38</v>
      </c>
      <c r="B692" s="162" t="s">
        <v>699</v>
      </c>
      <c r="C692" s="162" t="s">
        <v>89</v>
      </c>
      <c r="D692" s="162" t="s">
        <v>90</v>
      </c>
      <c r="E692" s="162" t="s">
        <v>770</v>
      </c>
      <c r="F692" s="162"/>
      <c r="G692" s="42"/>
      <c r="H692" s="42" t="s">
        <v>908</v>
      </c>
    </row>
    <row r="693" spans="1:8" ht="75" x14ac:dyDescent="0.25">
      <c r="A693" s="162">
        <v>38</v>
      </c>
      <c r="B693" s="162" t="s">
        <v>700</v>
      </c>
      <c r="C693" s="162" t="s">
        <v>55</v>
      </c>
      <c r="D693" s="162" t="s">
        <v>56</v>
      </c>
      <c r="E693" s="162" t="s">
        <v>57</v>
      </c>
      <c r="F693" s="162" t="s">
        <v>10</v>
      </c>
      <c r="G693" s="42"/>
      <c r="H693" s="42" t="s">
        <v>914</v>
      </c>
    </row>
    <row r="694" spans="1:8" ht="60" x14ac:dyDescent="0.25">
      <c r="A694" s="162">
        <v>38</v>
      </c>
      <c r="B694" s="162" t="s">
        <v>701</v>
      </c>
      <c r="C694" s="162" t="s">
        <v>55</v>
      </c>
      <c r="D694" s="162" t="s">
        <v>56</v>
      </c>
      <c r="E694" s="162" t="s">
        <v>57</v>
      </c>
      <c r="F694" s="162" t="s">
        <v>10</v>
      </c>
      <c r="G694" s="42"/>
      <c r="H694" s="42" t="s">
        <v>914</v>
      </c>
    </row>
    <row r="695" spans="1:8" ht="30" x14ac:dyDescent="0.25">
      <c r="A695" s="162">
        <v>38</v>
      </c>
      <c r="B695" s="162" t="s">
        <v>142</v>
      </c>
      <c r="C695" s="162" t="s">
        <v>55</v>
      </c>
      <c r="D695" s="162" t="s">
        <v>56</v>
      </c>
      <c r="E695" s="162" t="s">
        <v>4</v>
      </c>
      <c r="F695" s="162"/>
      <c r="G695" s="42"/>
      <c r="H695" s="42" t="s">
        <v>913</v>
      </c>
    </row>
    <row r="696" spans="1:8" ht="45" x14ac:dyDescent="0.25">
      <c r="A696" s="162">
        <v>38</v>
      </c>
      <c r="B696" s="162" t="s">
        <v>702</v>
      </c>
      <c r="C696" s="162" t="s">
        <v>55</v>
      </c>
      <c r="D696" s="162" t="s">
        <v>56</v>
      </c>
      <c r="E696" s="162" t="s">
        <v>242</v>
      </c>
      <c r="F696" s="162" t="s">
        <v>10</v>
      </c>
      <c r="G696" s="42"/>
      <c r="H696" s="42" t="s">
        <v>914</v>
      </c>
    </row>
    <row r="697" spans="1:8" ht="44.25" customHeight="1" x14ac:dyDescent="0.25">
      <c r="A697" s="162">
        <v>38</v>
      </c>
      <c r="B697" s="182" t="s">
        <v>703</v>
      </c>
      <c r="C697" s="182" t="s">
        <v>55</v>
      </c>
      <c r="D697" s="182" t="s">
        <v>56</v>
      </c>
      <c r="E697" s="182" t="s">
        <v>57</v>
      </c>
      <c r="F697" s="162" t="s">
        <v>10</v>
      </c>
      <c r="G697" s="42"/>
      <c r="H697" s="42" t="s">
        <v>928</v>
      </c>
    </row>
    <row r="698" spans="1:8" x14ac:dyDescent="0.25">
      <c r="A698" s="162">
        <v>38</v>
      </c>
      <c r="B698" s="182"/>
      <c r="C698" s="182"/>
      <c r="D698" s="182"/>
      <c r="E698" s="182"/>
      <c r="F698" s="162" t="s">
        <v>2</v>
      </c>
      <c r="G698" s="42"/>
      <c r="H698" s="42"/>
    </row>
    <row r="699" spans="1:8" ht="45" x14ac:dyDescent="0.25">
      <c r="A699" s="162">
        <v>38</v>
      </c>
      <c r="B699" s="162" t="s">
        <v>704</v>
      </c>
      <c r="C699" s="162" t="s">
        <v>55</v>
      </c>
      <c r="D699" s="162" t="s">
        <v>56</v>
      </c>
      <c r="E699" s="162" t="s">
        <v>4</v>
      </c>
      <c r="F699" s="162"/>
      <c r="G699" s="163" t="s">
        <v>784</v>
      </c>
      <c r="H699" s="42" t="s">
        <v>912</v>
      </c>
    </row>
    <row r="700" spans="1:8" x14ac:dyDescent="0.25">
      <c r="A700" s="162">
        <v>38</v>
      </c>
      <c r="B700" s="190" t="s">
        <v>788</v>
      </c>
      <c r="C700" s="182" t="s">
        <v>55</v>
      </c>
      <c r="D700" s="182" t="s">
        <v>56</v>
      </c>
      <c r="E700" s="162" t="s">
        <v>224</v>
      </c>
      <c r="F700" s="162" t="s">
        <v>5</v>
      </c>
      <c r="G700" s="163"/>
      <c r="H700" s="42" t="s">
        <v>914</v>
      </c>
    </row>
    <row r="701" spans="1:8" ht="55.5" customHeight="1" x14ac:dyDescent="0.25">
      <c r="A701" s="162">
        <v>38</v>
      </c>
      <c r="B701" s="190"/>
      <c r="C701" s="182"/>
      <c r="D701" s="182"/>
      <c r="E701" s="162" t="s">
        <v>4</v>
      </c>
      <c r="F701" s="162" t="s">
        <v>2</v>
      </c>
      <c r="G701" s="42"/>
      <c r="H701" s="42"/>
    </row>
    <row r="702" spans="1:8" ht="60" x14ac:dyDescent="0.25">
      <c r="A702" s="162">
        <v>38</v>
      </c>
      <c r="B702" s="162" t="s">
        <v>705</v>
      </c>
      <c r="C702" s="162" t="s">
        <v>85</v>
      </c>
      <c r="D702" s="162" t="s">
        <v>56</v>
      </c>
      <c r="E702" s="162" t="s">
        <v>11</v>
      </c>
      <c r="F702" s="162" t="s">
        <v>2</v>
      </c>
      <c r="G702" s="162" t="s">
        <v>791</v>
      </c>
      <c r="H702" s="162" t="s">
        <v>938</v>
      </c>
    </row>
    <row r="703" spans="1:8" ht="30" x14ac:dyDescent="0.25">
      <c r="A703" s="162">
        <v>38</v>
      </c>
      <c r="B703" s="162" t="s">
        <v>706</v>
      </c>
      <c r="C703" s="162" t="s">
        <v>89</v>
      </c>
      <c r="D703" s="162" t="s">
        <v>90</v>
      </c>
      <c r="E703" s="162" t="s">
        <v>240</v>
      </c>
      <c r="F703" s="162"/>
      <c r="G703" s="163"/>
      <c r="H703" s="42" t="s">
        <v>908</v>
      </c>
    </row>
    <row r="704" spans="1:8" ht="30" x14ac:dyDescent="0.25">
      <c r="A704" s="162">
        <v>38</v>
      </c>
      <c r="B704" s="162" t="s">
        <v>422</v>
      </c>
      <c r="C704" s="162"/>
      <c r="D704" s="162" t="s">
        <v>51</v>
      </c>
      <c r="E704" s="162" t="s">
        <v>811</v>
      </c>
      <c r="F704" s="162"/>
      <c r="G704" s="163" t="s">
        <v>761</v>
      </c>
      <c r="H704" s="42"/>
    </row>
    <row r="705" spans="1:8" ht="30" x14ac:dyDescent="0.25">
      <c r="A705" s="162">
        <v>38</v>
      </c>
      <c r="B705" s="162" t="s">
        <v>707</v>
      </c>
      <c r="C705" s="162" t="s">
        <v>55</v>
      </c>
      <c r="D705" s="162" t="s">
        <v>205</v>
      </c>
      <c r="E705" s="162" t="s">
        <v>4</v>
      </c>
      <c r="F705" s="162"/>
      <c r="G705" s="42"/>
      <c r="H705" s="42" t="s">
        <v>913</v>
      </c>
    </row>
    <row r="706" spans="1:8" ht="30" x14ac:dyDescent="0.25">
      <c r="A706" s="162">
        <v>38</v>
      </c>
      <c r="B706" s="162" t="s">
        <v>708</v>
      </c>
      <c r="C706" s="162" t="s">
        <v>55</v>
      </c>
      <c r="D706" s="162" t="s">
        <v>56</v>
      </c>
      <c r="E706" s="162" t="s">
        <v>57</v>
      </c>
      <c r="F706" s="162" t="s">
        <v>5</v>
      </c>
      <c r="G706" s="42"/>
      <c r="H706" s="42" t="s">
        <v>913</v>
      </c>
    </row>
    <row r="707" spans="1:8" ht="45" x14ac:dyDescent="0.25">
      <c r="A707" s="162">
        <v>38</v>
      </c>
      <c r="B707" s="162" t="s">
        <v>709</v>
      </c>
      <c r="C707" s="162" t="s">
        <v>55</v>
      </c>
      <c r="D707" s="162" t="s">
        <v>56</v>
      </c>
      <c r="E707" s="162" t="s">
        <v>11</v>
      </c>
      <c r="F707" s="162" t="s">
        <v>5</v>
      </c>
      <c r="G707" s="162" t="s">
        <v>900</v>
      </c>
      <c r="H707" s="162" t="s">
        <v>912</v>
      </c>
    </row>
    <row r="708" spans="1:8" ht="30" x14ac:dyDescent="0.25">
      <c r="A708" s="162">
        <v>38</v>
      </c>
      <c r="B708" s="162" t="s">
        <v>710</v>
      </c>
      <c r="C708" s="162" t="s">
        <v>55</v>
      </c>
      <c r="D708" s="162" t="s">
        <v>56</v>
      </c>
      <c r="E708" s="162" t="s">
        <v>1</v>
      </c>
      <c r="F708" s="162" t="s">
        <v>5</v>
      </c>
      <c r="G708" s="42"/>
      <c r="H708" s="42" t="s">
        <v>914</v>
      </c>
    </row>
    <row r="709" spans="1:8" ht="45" x14ac:dyDescent="0.25">
      <c r="A709" s="162">
        <v>38</v>
      </c>
      <c r="B709" s="162" t="s">
        <v>711</v>
      </c>
      <c r="C709" s="162" t="s">
        <v>23</v>
      </c>
      <c r="D709" s="162" t="s">
        <v>24</v>
      </c>
      <c r="E709" s="162" t="s">
        <v>96</v>
      </c>
      <c r="F709" s="162" t="s">
        <v>33</v>
      </c>
      <c r="G709" s="42"/>
      <c r="H709" s="42" t="s">
        <v>911</v>
      </c>
    </row>
    <row r="710" spans="1:8" ht="60" x14ac:dyDescent="0.25">
      <c r="A710" s="162">
        <v>39</v>
      </c>
      <c r="B710" s="162" t="s">
        <v>712</v>
      </c>
      <c r="C710" s="162" t="s">
        <v>258</v>
      </c>
      <c r="D710" s="162" t="s">
        <v>713</v>
      </c>
      <c r="E710" s="162" t="s">
        <v>96</v>
      </c>
      <c r="F710" s="162" t="s">
        <v>33</v>
      </c>
      <c r="G710" s="42"/>
      <c r="H710" s="42" t="s">
        <v>906</v>
      </c>
    </row>
    <row r="711" spans="1:8" ht="63" x14ac:dyDescent="0.25">
      <c r="A711" s="162">
        <v>39</v>
      </c>
      <c r="B711" s="162" t="s">
        <v>714</v>
      </c>
      <c r="C711" s="162" t="s">
        <v>258</v>
      </c>
      <c r="D711" s="162" t="s">
        <v>24</v>
      </c>
      <c r="E711" s="162" t="s">
        <v>96</v>
      </c>
      <c r="F711" s="162" t="s">
        <v>33</v>
      </c>
      <c r="G711" s="42"/>
      <c r="H711" s="42" t="s">
        <v>906</v>
      </c>
    </row>
    <row r="712" spans="1:8" ht="31.5" x14ac:dyDescent="0.25">
      <c r="A712" s="162">
        <v>39</v>
      </c>
      <c r="B712" s="162" t="s">
        <v>53</v>
      </c>
      <c r="C712" s="162"/>
      <c r="D712" s="162" t="s">
        <v>51</v>
      </c>
      <c r="E712" s="162" t="s">
        <v>811</v>
      </c>
      <c r="F712" s="162"/>
      <c r="G712" s="180" t="s">
        <v>760</v>
      </c>
      <c r="H712" s="42"/>
    </row>
    <row r="713" spans="1:8" ht="31.5" x14ac:dyDescent="0.25">
      <c r="A713" s="162">
        <v>39</v>
      </c>
      <c r="B713" s="162" t="s">
        <v>715</v>
      </c>
      <c r="C713" s="162"/>
      <c r="D713" s="162" t="s">
        <v>139</v>
      </c>
      <c r="E713" s="162" t="s">
        <v>815</v>
      </c>
      <c r="F713" s="162"/>
      <c r="G713" s="180" t="s">
        <v>760</v>
      </c>
      <c r="H713" s="42"/>
    </row>
    <row r="714" spans="1:8" ht="30" x14ac:dyDescent="0.25">
      <c r="A714" s="162">
        <v>39</v>
      </c>
      <c r="B714" s="162" t="s">
        <v>746</v>
      </c>
      <c r="C714" s="162" t="s">
        <v>55</v>
      </c>
      <c r="D714" s="162" t="s">
        <v>56</v>
      </c>
      <c r="E714" s="162" t="s">
        <v>57</v>
      </c>
      <c r="F714" s="162" t="s">
        <v>5</v>
      </c>
      <c r="G714" s="42"/>
      <c r="H714" s="42" t="s">
        <v>914</v>
      </c>
    </row>
    <row r="715" spans="1:8" ht="45" x14ac:dyDescent="0.25">
      <c r="A715" s="162">
        <v>39</v>
      </c>
      <c r="B715" s="162" t="s">
        <v>716</v>
      </c>
      <c r="C715" s="162" t="s">
        <v>23</v>
      </c>
      <c r="D715" s="162" t="s">
        <v>24</v>
      </c>
      <c r="E715" s="162" t="s">
        <v>96</v>
      </c>
      <c r="F715" s="162" t="s">
        <v>33</v>
      </c>
      <c r="G715" s="42"/>
      <c r="H715" s="42" t="s">
        <v>906</v>
      </c>
    </row>
    <row r="716" spans="1:8" ht="45" x14ac:dyDescent="0.25">
      <c r="A716" s="162">
        <v>39</v>
      </c>
      <c r="B716" s="162" t="s">
        <v>717</v>
      </c>
      <c r="C716" s="162" t="s">
        <v>55</v>
      </c>
      <c r="D716" s="162" t="s">
        <v>56</v>
      </c>
      <c r="E716" s="162" t="s">
        <v>11</v>
      </c>
      <c r="F716" s="162" t="s">
        <v>10</v>
      </c>
      <c r="G716" s="42"/>
      <c r="H716" s="42" t="s">
        <v>915</v>
      </c>
    </row>
    <row r="717" spans="1:8" ht="45" x14ac:dyDescent="0.25">
      <c r="A717" s="162">
        <v>39</v>
      </c>
      <c r="B717" s="162" t="s">
        <v>718</v>
      </c>
      <c r="C717" s="162" t="s">
        <v>55</v>
      </c>
      <c r="D717" s="162" t="s">
        <v>56</v>
      </c>
      <c r="E717" s="162" t="s">
        <v>11</v>
      </c>
      <c r="F717" s="162" t="s">
        <v>5</v>
      </c>
      <c r="G717" s="42"/>
      <c r="H717" s="42" t="s">
        <v>914</v>
      </c>
    </row>
    <row r="718" spans="1:8" ht="30" x14ac:dyDescent="0.25">
      <c r="A718" s="162">
        <v>39</v>
      </c>
      <c r="B718" s="162" t="s">
        <v>719</v>
      </c>
      <c r="C718" s="162" t="s">
        <v>23</v>
      </c>
      <c r="D718" s="162" t="s">
        <v>24</v>
      </c>
      <c r="E718" s="162" t="s">
        <v>96</v>
      </c>
      <c r="F718" s="162" t="s">
        <v>33</v>
      </c>
      <c r="G718" s="42"/>
      <c r="H718" s="42" t="s">
        <v>916</v>
      </c>
    </row>
    <row r="719" spans="1:8" ht="30" x14ac:dyDescent="0.25">
      <c r="A719" s="162">
        <v>39</v>
      </c>
      <c r="B719" s="162" t="s">
        <v>720</v>
      </c>
      <c r="C719" s="162" t="s">
        <v>55</v>
      </c>
      <c r="D719" s="162" t="s">
        <v>56</v>
      </c>
      <c r="E719" s="162" t="s">
        <v>57</v>
      </c>
      <c r="F719" s="162" t="s">
        <v>5</v>
      </c>
      <c r="G719" s="42"/>
      <c r="H719" s="42" t="s">
        <v>913</v>
      </c>
    </row>
    <row r="720" spans="1:8" ht="60" x14ac:dyDescent="0.25">
      <c r="A720" s="162">
        <v>40</v>
      </c>
      <c r="B720" s="162" t="s">
        <v>721</v>
      </c>
      <c r="C720" s="162" t="s">
        <v>55</v>
      </c>
      <c r="D720" s="162" t="s">
        <v>56</v>
      </c>
      <c r="E720" s="162" t="s">
        <v>11</v>
      </c>
      <c r="F720" s="162" t="s">
        <v>10</v>
      </c>
      <c r="G720" s="42"/>
      <c r="H720" s="42" t="s">
        <v>914</v>
      </c>
    </row>
    <row r="721" spans="1:8" ht="75" x14ac:dyDescent="0.25">
      <c r="A721" s="162">
        <v>40</v>
      </c>
      <c r="B721" s="162" t="s">
        <v>722</v>
      </c>
      <c r="C721" s="162" t="s">
        <v>55</v>
      </c>
      <c r="D721" s="162" t="s">
        <v>56</v>
      </c>
      <c r="E721" s="162" t="s">
        <v>11</v>
      </c>
      <c r="F721" s="162" t="s">
        <v>5</v>
      </c>
      <c r="G721" s="42"/>
      <c r="H721" s="42" t="s">
        <v>914</v>
      </c>
    </row>
    <row r="722" spans="1:8" ht="60" x14ac:dyDescent="0.25">
      <c r="A722" s="162">
        <v>40</v>
      </c>
      <c r="B722" s="162" t="s">
        <v>723</v>
      </c>
      <c r="C722" s="162" t="s">
        <v>55</v>
      </c>
      <c r="D722" s="162" t="s">
        <v>56</v>
      </c>
      <c r="E722" s="162" t="s">
        <v>11</v>
      </c>
      <c r="F722" s="162" t="s">
        <v>10</v>
      </c>
      <c r="G722" s="42"/>
      <c r="H722" s="42" t="s">
        <v>914</v>
      </c>
    </row>
    <row r="723" spans="1:8" ht="45" x14ac:dyDescent="0.25">
      <c r="A723" s="162">
        <v>40</v>
      </c>
      <c r="B723" s="162" t="s">
        <v>724</v>
      </c>
      <c r="C723" s="162" t="s">
        <v>55</v>
      </c>
      <c r="D723" s="162" t="s">
        <v>56</v>
      </c>
      <c r="E723" s="162" t="s">
        <v>57</v>
      </c>
      <c r="F723" s="162" t="s">
        <v>10</v>
      </c>
      <c r="G723" s="42"/>
      <c r="H723" s="42" t="s">
        <v>914</v>
      </c>
    </row>
    <row r="724" spans="1:8" ht="45" x14ac:dyDescent="0.25">
      <c r="A724" s="162">
        <v>40</v>
      </c>
      <c r="B724" s="162" t="s">
        <v>725</v>
      </c>
      <c r="C724" s="162" t="s">
        <v>89</v>
      </c>
      <c r="D724" s="162" t="s">
        <v>90</v>
      </c>
      <c r="E724" s="162" t="s">
        <v>770</v>
      </c>
      <c r="F724" s="162"/>
      <c r="G724" s="42"/>
      <c r="H724" s="42" t="s">
        <v>908</v>
      </c>
    </row>
    <row r="725" spans="1:8" ht="60" x14ac:dyDescent="0.25">
      <c r="A725" s="162">
        <v>40</v>
      </c>
      <c r="B725" s="162" t="s">
        <v>726</v>
      </c>
      <c r="C725" s="162" t="s">
        <v>89</v>
      </c>
      <c r="D725" s="162" t="s">
        <v>90</v>
      </c>
      <c r="E725" s="162" t="s">
        <v>770</v>
      </c>
      <c r="F725" s="162"/>
      <c r="G725" s="42"/>
      <c r="H725" s="42" t="s">
        <v>908</v>
      </c>
    </row>
    <row r="726" spans="1:8" x14ac:dyDescent="0.25">
      <c r="A726" s="162">
        <v>41</v>
      </c>
      <c r="B726" s="162"/>
      <c r="C726" s="162"/>
      <c r="D726" s="162"/>
      <c r="E726" s="162"/>
      <c r="F726" s="162"/>
      <c r="G726" s="42"/>
      <c r="H726" s="42"/>
    </row>
    <row r="727" spans="1:8" x14ac:dyDescent="0.25">
      <c r="A727" s="1"/>
      <c r="B727" s="191"/>
      <c r="C727" s="1"/>
      <c r="D727" s="1"/>
      <c r="E727" s="1"/>
      <c r="F727" s="1"/>
    </row>
    <row r="728" spans="1:8" ht="104.25" customHeight="1" x14ac:dyDescent="0.25">
      <c r="A728" s="1"/>
      <c r="B728" s="191"/>
      <c r="C728" s="1"/>
      <c r="D728" s="1"/>
      <c r="E728" s="1"/>
      <c r="F728" s="1"/>
    </row>
    <row r="729" spans="1:8" x14ac:dyDescent="0.25">
      <c r="A729" s="1"/>
      <c r="B729" s="191"/>
      <c r="C729" s="1"/>
      <c r="D729" s="1"/>
      <c r="E729" s="1"/>
      <c r="F729" s="1"/>
    </row>
    <row r="730" spans="1:8" ht="104.25" customHeight="1" x14ac:dyDescent="0.25">
      <c r="A730" s="1"/>
      <c r="B730" s="191"/>
      <c r="C730" s="1"/>
      <c r="D730" s="1"/>
      <c r="E730" s="1"/>
      <c r="F730" s="1"/>
    </row>
    <row r="731" spans="1:8" x14ac:dyDescent="0.25">
      <c r="A731" s="1"/>
      <c r="B731" s="191"/>
      <c r="C731" s="1"/>
      <c r="D731" s="1"/>
      <c r="E731" s="1"/>
      <c r="F731" s="1"/>
    </row>
    <row r="732" spans="1:8" x14ac:dyDescent="0.25">
      <c r="A732" s="1"/>
      <c r="B732" s="191"/>
      <c r="C732" s="1"/>
      <c r="D732" s="1"/>
      <c r="E732" s="1"/>
      <c r="F732" s="1"/>
    </row>
    <row r="733" spans="1:8" x14ac:dyDescent="0.25">
      <c r="A733" s="1"/>
      <c r="B733" s="191"/>
      <c r="C733" s="1"/>
      <c r="D733" s="1"/>
      <c r="E733" s="1"/>
      <c r="F733" s="1"/>
    </row>
    <row r="734" spans="1:8" x14ac:dyDescent="0.25">
      <c r="A734" s="1"/>
      <c r="B734" s="191"/>
      <c r="C734" s="1"/>
      <c r="D734" s="1"/>
      <c r="E734" s="1"/>
      <c r="F734" s="1"/>
    </row>
    <row r="735" spans="1:8" x14ac:dyDescent="0.25">
      <c r="A735" s="1"/>
      <c r="B735" s="191"/>
      <c r="C735" s="1"/>
      <c r="D735" s="1"/>
      <c r="E735" s="1"/>
      <c r="F735" s="1"/>
    </row>
    <row r="736" spans="1:8" x14ac:dyDescent="0.25">
      <c r="A736" s="1"/>
      <c r="B736" s="191"/>
      <c r="C736" s="1"/>
      <c r="D736" s="1"/>
      <c r="E736" s="1"/>
      <c r="F736" s="1"/>
    </row>
    <row r="737" spans="1:6" x14ac:dyDescent="0.25">
      <c r="A737" s="1"/>
      <c r="B737" s="191"/>
      <c r="C737" s="1"/>
      <c r="D737" s="1"/>
      <c r="E737" s="1"/>
      <c r="F737" s="1"/>
    </row>
    <row r="738" spans="1:6" x14ac:dyDescent="0.25">
      <c r="A738" s="1"/>
      <c r="B738" s="191"/>
      <c r="C738" s="1"/>
      <c r="D738" s="1"/>
      <c r="E738" s="1"/>
      <c r="F738" s="1"/>
    </row>
    <row r="739" spans="1:6" ht="47.25" customHeight="1" x14ac:dyDescent="0.25">
      <c r="A739" s="1"/>
      <c r="B739" s="192"/>
      <c r="C739" s="1"/>
      <c r="D739" s="1"/>
      <c r="E739" s="1"/>
      <c r="F739" s="1"/>
    </row>
    <row r="740" spans="1:6" ht="15" customHeight="1" x14ac:dyDescent="0.25">
      <c r="A740" s="1"/>
      <c r="B740" s="192"/>
      <c r="C740" s="1"/>
      <c r="D740" s="1"/>
      <c r="E740" s="1"/>
      <c r="F740" s="1"/>
    </row>
    <row r="741" spans="1:6" ht="47.25" customHeight="1" x14ac:dyDescent="0.25">
      <c r="A741" s="1"/>
      <c r="B741" s="191"/>
      <c r="C741" s="1"/>
      <c r="D741" s="1"/>
      <c r="E741" s="1"/>
      <c r="F741" s="1"/>
    </row>
    <row r="742" spans="1:6" ht="15.75" customHeight="1" x14ac:dyDescent="0.25">
      <c r="A742" s="1"/>
      <c r="B742" s="191"/>
      <c r="C742" s="1"/>
      <c r="D742" s="1"/>
      <c r="E742" s="1"/>
      <c r="F742" s="1"/>
    </row>
    <row r="743" spans="1:6" x14ac:dyDescent="0.25">
      <c r="A743" s="1"/>
      <c r="B743" s="191"/>
      <c r="C743" s="1"/>
      <c r="D743" s="1"/>
      <c r="E743" s="1"/>
      <c r="F743" s="1"/>
    </row>
    <row r="744" spans="1:6" x14ac:dyDescent="0.25">
      <c r="A744" s="1"/>
      <c r="B744" s="191"/>
      <c r="C744" s="1"/>
      <c r="D744" s="1"/>
      <c r="E744" s="1"/>
      <c r="F744" s="1"/>
    </row>
    <row r="745" spans="1:6" x14ac:dyDescent="0.25">
      <c r="A745" s="1"/>
      <c r="B745" s="191"/>
      <c r="C745" s="1"/>
      <c r="D745" s="1"/>
      <c r="E745" s="1"/>
      <c r="F745" s="1"/>
    </row>
    <row r="746" spans="1:6" x14ac:dyDescent="0.25">
      <c r="A746" s="1"/>
      <c r="B746" s="191"/>
      <c r="C746" s="1"/>
      <c r="D746" s="1"/>
      <c r="E746" s="1"/>
      <c r="F746" s="1"/>
    </row>
    <row r="747" spans="1:6" x14ac:dyDescent="0.25">
      <c r="A747" s="1"/>
      <c r="B747" s="191"/>
      <c r="C747" s="1"/>
      <c r="D747" s="1"/>
      <c r="E747" s="1"/>
      <c r="F747" s="1"/>
    </row>
    <row r="748" spans="1:6" x14ac:dyDescent="0.25">
      <c r="A748" s="1"/>
      <c r="B748" s="191"/>
      <c r="C748" s="1"/>
      <c r="D748" s="1"/>
      <c r="E748" s="1"/>
      <c r="F748" s="1"/>
    </row>
    <row r="749" spans="1:6" x14ac:dyDescent="0.25">
      <c r="A749" s="1"/>
      <c r="B749" s="193"/>
      <c r="C749" s="1"/>
      <c r="D749" s="1"/>
      <c r="E749" s="1"/>
      <c r="F749" s="1"/>
    </row>
    <row r="750" spans="1:6" x14ac:dyDescent="0.25">
      <c r="A750" s="1"/>
      <c r="B750" s="191"/>
      <c r="C750" s="1"/>
      <c r="D750" s="1"/>
      <c r="E750" s="1"/>
      <c r="F750" s="1"/>
    </row>
    <row r="751" spans="1:6" x14ac:dyDescent="0.25">
      <c r="A751" s="1"/>
      <c r="B751" s="191"/>
      <c r="C751" s="1"/>
      <c r="D751" s="1"/>
      <c r="E751" s="1"/>
      <c r="F751" s="1"/>
    </row>
    <row r="752" spans="1:6" x14ac:dyDescent="0.25">
      <c r="A752" s="1"/>
      <c r="B752" s="191"/>
      <c r="C752" s="1"/>
      <c r="D752" s="1"/>
      <c r="E752" s="1"/>
      <c r="F752" s="1"/>
    </row>
    <row r="753" spans="1:6" x14ac:dyDescent="0.25">
      <c r="A753" s="1"/>
      <c r="B753" s="191"/>
      <c r="C753" s="1"/>
      <c r="D753" s="1"/>
      <c r="E753" s="1"/>
      <c r="F753" s="1"/>
    </row>
    <row r="754" spans="1:6" x14ac:dyDescent="0.25">
      <c r="A754" s="1"/>
      <c r="B754" s="191"/>
      <c r="C754" s="1"/>
      <c r="D754" s="1"/>
      <c r="E754" s="1"/>
      <c r="F754" s="1"/>
    </row>
    <row r="755" spans="1:6" x14ac:dyDescent="0.25">
      <c r="A755" s="1"/>
      <c r="B755" s="191"/>
      <c r="C755" s="1"/>
      <c r="D755" s="1"/>
      <c r="E755" s="1"/>
      <c r="F755" s="1"/>
    </row>
    <row r="756" spans="1:6" x14ac:dyDescent="0.25">
      <c r="A756" s="1"/>
      <c r="B756" s="191"/>
      <c r="C756" s="1"/>
      <c r="D756" s="1"/>
      <c r="E756" s="1"/>
      <c r="F756" s="1"/>
    </row>
    <row r="757" spans="1:6" x14ac:dyDescent="0.25">
      <c r="A757" s="1"/>
      <c r="B757" s="191"/>
      <c r="C757" s="1"/>
      <c r="D757" s="1"/>
      <c r="E757" s="1"/>
      <c r="F757" s="1"/>
    </row>
    <row r="758" spans="1:6" x14ac:dyDescent="0.25">
      <c r="A758" s="1"/>
      <c r="B758" s="191"/>
      <c r="C758" s="1"/>
      <c r="D758" s="1"/>
      <c r="E758" s="1"/>
      <c r="F758" s="1"/>
    </row>
    <row r="759" spans="1:6" x14ac:dyDescent="0.25">
      <c r="A759" s="1"/>
      <c r="B759" s="191"/>
      <c r="C759" s="1"/>
      <c r="D759" s="1"/>
      <c r="E759" s="1"/>
      <c r="F759" s="1"/>
    </row>
    <row r="760" spans="1:6" x14ac:dyDescent="0.25">
      <c r="A760" s="1"/>
      <c r="B760" s="191"/>
      <c r="C760" s="1"/>
      <c r="D760" s="1"/>
      <c r="E760" s="1"/>
      <c r="F760" s="1"/>
    </row>
    <row r="761" spans="1:6" x14ac:dyDescent="0.25">
      <c r="A761" s="1"/>
      <c r="B761" s="191"/>
      <c r="C761" s="1"/>
      <c r="D761" s="1"/>
      <c r="E761" s="1"/>
      <c r="F761" s="1"/>
    </row>
    <row r="762" spans="1:6" x14ac:dyDescent="0.25">
      <c r="A762" s="1"/>
      <c r="B762" s="191"/>
      <c r="C762" s="1"/>
      <c r="D762" s="1"/>
      <c r="E762" s="1"/>
      <c r="F762" s="1"/>
    </row>
    <row r="763" spans="1:6" x14ac:dyDescent="0.25">
      <c r="A763" s="1"/>
      <c r="B763" s="191"/>
      <c r="C763" s="1"/>
      <c r="D763" s="1"/>
      <c r="E763" s="1"/>
      <c r="F763" s="1"/>
    </row>
    <row r="764" spans="1:6" x14ac:dyDescent="0.25">
      <c r="A764" s="1"/>
      <c r="B764" s="191"/>
      <c r="C764" s="1"/>
      <c r="D764" s="1"/>
      <c r="E764" s="1"/>
      <c r="F764" s="1"/>
    </row>
    <row r="765" spans="1:6" x14ac:dyDescent="0.25">
      <c r="A765" s="1"/>
      <c r="B765" s="191"/>
      <c r="C765" s="1"/>
      <c r="D765" s="1"/>
      <c r="E765" s="1"/>
      <c r="F765" s="1"/>
    </row>
    <row r="766" spans="1:6" x14ac:dyDescent="0.25">
      <c r="A766" s="1"/>
      <c r="B766" s="191"/>
      <c r="C766" s="1"/>
      <c r="D766" s="1"/>
      <c r="E766" s="1"/>
      <c r="F766" s="1"/>
    </row>
    <row r="767" spans="1:6" x14ac:dyDescent="0.25">
      <c r="A767" s="1"/>
      <c r="B767" s="191"/>
      <c r="C767" s="1"/>
      <c r="D767" s="1"/>
      <c r="E767" s="1"/>
      <c r="F767" s="1"/>
    </row>
    <row r="768" spans="1:6" x14ac:dyDescent="0.25">
      <c r="A768" s="1"/>
      <c r="B768" s="191"/>
      <c r="C768" s="1"/>
      <c r="D768" s="1"/>
      <c r="E768" s="1"/>
      <c r="F768" s="1"/>
    </row>
    <row r="769" spans="1:6" x14ac:dyDescent="0.25">
      <c r="A769" s="1"/>
      <c r="B769" s="191"/>
      <c r="C769" s="1"/>
      <c r="D769" s="1"/>
      <c r="E769" s="1"/>
      <c r="F769" s="1"/>
    </row>
    <row r="770" spans="1:6" x14ac:dyDescent="0.25">
      <c r="A770" s="1"/>
      <c r="B770" s="191"/>
      <c r="C770" s="1"/>
      <c r="D770" s="1"/>
      <c r="E770" s="1"/>
      <c r="F770" s="1"/>
    </row>
    <row r="771" spans="1:6" x14ac:dyDescent="0.25">
      <c r="A771" s="1"/>
      <c r="B771" s="191"/>
      <c r="C771" s="1"/>
      <c r="D771" s="1"/>
      <c r="E771" s="1"/>
      <c r="F771" s="1"/>
    </row>
    <row r="772" spans="1:6" x14ac:dyDescent="0.25">
      <c r="A772" s="1"/>
      <c r="B772" s="191"/>
      <c r="C772" s="1"/>
      <c r="D772" s="1"/>
      <c r="E772" s="1"/>
      <c r="F772" s="1"/>
    </row>
    <row r="773" spans="1:6" x14ac:dyDescent="0.25">
      <c r="A773" s="1"/>
      <c r="B773" s="191"/>
      <c r="C773" s="1"/>
      <c r="D773" s="1"/>
      <c r="E773" s="1"/>
      <c r="F773" s="1"/>
    </row>
    <row r="774" spans="1:6" x14ac:dyDescent="0.25">
      <c r="A774" s="1"/>
      <c r="B774" s="191"/>
      <c r="C774" s="1"/>
      <c r="D774" s="1"/>
      <c r="E774" s="1"/>
      <c r="F774" s="1"/>
    </row>
    <row r="775" spans="1:6" x14ac:dyDescent="0.25">
      <c r="A775" s="1"/>
      <c r="B775" s="191"/>
      <c r="C775" s="1"/>
      <c r="D775" s="1"/>
      <c r="E775" s="1"/>
      <c r="F775" s="1"/>
    </row>
    <row r="776" spans="1:6" x14ac:dyDescent="0.25">
      <c r="A776" s="1"/>
      <c r="B776" s="191"/>
      <c r="C776" s="1"/>
      <c r="D776" s="1"/>
      <c r="E776" s="1"/>
      <c r="F776" s="1"/>
    </row>
    <row r="777" spans="1:6" x14ac:dyDescent="0.25">
      <c r="A777" s="1"/>
      <c r="B777" s="193"/>
      <c r="C777" s="1"/>
      <c r="D777" s="1"/>
      <c r="E777" s="1"/>
      <c r="F777" s="1"/>
    </row>
    <row r="778" spans="1:6" x14ac:dyDescent="0.25">
      <c r="A778" s="1"/>
      <c r="B778" s="193"/>
      <c r="C778" s="1"/>
      <c r="D778" s="1"/>
      <c r="E778" s="1"/>
      <c r="F778" s="1"/>
    </row>
    <row r="779" spans="1:6" x14ac:dyDescent="0.25">
      <c r="A779" s="1"/>
      <c r="B779" s="193"/>
      <c r="C779" s="1"/>
      <c r="D779" s="1"/>
      <c r="E779" s="1"/>
      <c r="F779" s="1"/>
    </row>
    <row r="780" spans="1:6" x14ac:dyDescent="0.25">
      <c r="A780" s="1"/>
      <c r="B780" s="193"/>
      <c r="C780" s="1"/>
      <c r="D780" s="1"/>
      <c r="E780" s="1"/>
      <c r="F780" s="1"/>
    </row>
    <row r="781" spans="1:6" x14ac:dyDescent="0.25">
      <c r="A781" s="1"/>
      <c r="B781" s="193"/>
      <c r="C781" s="1"/>
      <c r="D781" s="1"/>
      <c r="E781" s="1"/>
      <c r="F781" s="1"/>
    </row>
    <row r="782" spans="1:6" x14ac:dyDescent="0.25">
      <c r="A782" s="1"/>
      <c r="B782" s="191"/>
      <c r="C782" s="1"/>
      <c r="D782" s="1"/>
      <c r="E782" s="1"/>
      <c r="F782" s="1"/>
    </row>
    <row r="783" spans="1:6" x14ac:dyDescent="0.25">
      <c r="A783" s="1"/>
      <c r="B783" s="193"/>
      <c r="C783" s="1"/>
      <c r="D783" s="1"/>
      <c r="E783" s="1"/>
      <c r="F783" s="1"/>
    </row>
    <row r="784" spans="1:6" x14ac:dyDescent="0.25">
      <c r="A784" s="1"/>
      <c r="B784" s="193"/>
      <c r="C784" s="1"/>
      <c r="D784" s="1"/>
      <c r="E784" s="1"/>
      <c r="F784" s="1"/>
    </row>
    <row r="785" spans="1:6" x14ac:dyDescent="0.25">
      <c r="A785" s="1"/>
      <c r="B785" s="193"/>
      <c r="C785" s="1"/>
      <c r="D785" s="1"/>
      <c r="E785" s="1"/>
      <c r="F785" s="1"/>
    </row>
    <row r="786" spans="1:6" x14ac:dyDescent="0.25">
      <c r="A786" s="1"/>
      <c r="B786" s="191"/>
      <c r="C786" s="1"/>
      <c r="D786" s="1"/>
      <c r="E786" s="1"/>
      <c r="F786" s="1"/>
    </row>
    <row r="787" spans="1:6" x14ac:dyDescent="0.25">
      <c r="A787" s="1"/>
      <c r="B787" s="193"/>
      <c r="C787" s="1"/>
      <c r="D787" s="1"/>
      <c r="E787" s="1"/>
      <c r="F787" s="1"/>
    </row>
    <row r="788" spans="1:6" x14ac:dyDescent="0.25">
      <c r="A788" s="1"/>
      <c r="B788" s="191"/>
      <c r="C788" s="1"/>
      <c r="D788" s="1"/>
      <c r="E788" s="1"/>
      <c r="F788" s="1"/>
    </row>
    <row r="789" spans="1:6" x14ac:dyDescent="0.25">
      <c r="A789" s="1"/>
      <c r="B789" s="191"/>
      <c r="C789" s="1"/>
      <c r="D789" s="1"/>
      <c r="E789" s="1"/>
      <c r="F789" s="1"/>
    </row>
    <row r="790" spans="1:6" x14ac:dyDescent="0.25">
      <c r="A790" s="1"/>
      <c r="B790" s="191"/>
      <c r="C790" s="1"/>
      <c r="D790" s="1"/>
      <c r="E790" s="1"/>
      <c r="F790" s="1"/>
    </row>
    <row r="791" spans="1:6" x14ac:dyDescent="0.25">
      <c r="A791" s="1"/>
      <c r="B791" s="191"/>
      <c r="C791" s="1"/>
      <c r="D791" s="1"/>
      <c r="E791" s="1"/>
      <c r="F791" s="1"/>
    </row>
    <row r="792" spans="1:6" x14ac:dyDescent="0.25">
      <c r="A792" s="1"/>
      <c r="B792" s="191"/>
      <c r="C792" s="1"/>
      <c r="D792" s="1"/>
      <c r="E792" s="1"/>
      <c r="F792" s="1"/>
    </row>
    <row r="793" spans="1:6" x14ac:dyDescent="0.25">
      <c r="A793" s="1"/>
      <c r="B793" s="191"/>
      <c r="C793" s="1"/>
      <c r="D793" s="1"/>
      <c r="E793" s="1"/>
      <c r="F793" s="1"/>
    </row>
    <row r="794" spans="1:6" x14ac:dyDescent="0.25">
      <c r="A794" s="1"/>
      <c r="B794" s="191"/>
      <c r="C794" s="1"/>
      <c r="D794" s="1"/>
      <c r="E794" s="1"/>
      <c r="F794" s="1"/>
    </row>
    <row r="795" spans="1:6" x14ac:dyDescent="0.25">
      <c r="A795" s="1"/>
      <c r="B795" s="191"/>
      <c r="C795" s="1"/>
      <c r="D795" s="1"/>
      <c r="E795" s="1"/>
      <c r="F795" s="1"/>
    </row>
    <row r="796" spans="1:6" x14ac:dyDescent="0.25">
      <c r="A796" s="1"/>
      <c r="B796" s="191"/>
      <c r="C796" s="1"/>
      <c r="D796" s="1"/>
      <c r="E796" s="1"/>
      <c r="F796" s="1"/>
    </row>
    <row r="797" spans="1:6" x14ac:dyDescent="0.25">
      <c r="A797" s="1"/>
      <c r="B797" s="191"/>
      <c r="C797" s="1"/>
      <c r="D797" s="1"/>
      <c r="E797" s="1"/>
      <c r="F797" s="1"/>
    </row>
    <row r="798" spans="1:6" x14ac:dyDescent="0.25">
      <c r="A798" s="1"/>
      <c r="B798" s="191"/>
      <c r="C798" s="1"/>
      <c r="D798" s="1"/>
      <c r="E798" s="1"/>
      <c r="F798" s="1"/>
    </row>
    <row r="799" spans="1:6" x14ac:dyDescent="0.25">
      <c r="A799" s="1"/>
      <c r="B799" s="191"/>
      <c r="C799" s="1"/>
      <c r="D799" s="1"/>
      <c r="E799" s="1"/>
      <c r="F799" s="1"/>
    </row>
    <row r="800" spans="1:6" x14ac:dyDescent="0.25">
      <c r="A800" s="1"/>
      <c r="B800" s="191"/>
      <c r="C800" s="1"/>
      <c r="D800" s="1"/>
      <c r="E800" s="1"/>
      <c r="F800" s="1"/>
    </row>
    <row r="801" spans="1:6" x14ac:dyDescent="0.25">
      <c r="A801" s="1"/>
      <c r="B801" s="191"/>
      <c r="C801" s="1"/>
      <c r="D801" s="1"/>
      <c r="E801" s="1"/>
      <c r="F801" s="1"/>
    </row>
    <row r="802" spans="1:6" x14ac:dyDescent="0.25">
      <c r="A802" s="1"/>
      <c r="B802" s="191"/>
      <c r="C802" s="1"/>
      <c r="D802" s="1"/>
      <c r="E802" s="1"/>
      <c r="F802" s="1"/>
    </row>
    <row r="803" spans="1:6" ht="74.25" customHeight="1" x14ac:dyDescent="0.25">
      <c r="A803" s="1"/>
      <c r="B803" s="191"/>
      <c r="C803" s="1"/>
      <c r="D803" s="1"/>
      <c r="E803" s="1"/>
      <c r="F803" s="1"/>
    </row>
    <row r="804" spans="1:6" x14ac:dyDescent="0.25">
      <c r="A804" s="1"/>
      <c r="B804" s="191"/>
      <c r="C804" s="1"/>
      <c r="D804" s="1"/>
      <c r="E804" s="1"/>
      <c r="F804" s="1"/>
    </row>
    <row r="805" spans="1:6" ht="74.25" customHeight="1" x14ac:dyDescent="0.25">
      <c r="A805" s="1"/>
      <c r="B805" s="191"/>
      <c r="C805" s="1"/>
      <c r="D805" s="1"/>
      <c r="E805" s="1"/>
      <c r="F805" s="1"/>
    </row>
    <row r="806" spans="1:6" x14ac:dyDescent="0.25">
      <c r="A806" s="1"/>
      <c r="B806" s="191"/>
      <c r="C806" s="1"/>
      <c r="D806" s="1"/>
      <c r="E806" s="1"/>
      <c r="F806" s="1"/>
    </row>
    <row r="807" spans="1:6" x14ac:dyDescent="0.25">
      <c r="A807" s="1"/>
      <c r="B807" s="191"/>
      <c r="C807" s="1"/>
      <c r="D807" s="1"/>
      <c r="E807" s="1"/>
      <c r="F807" s="1"/>
    </row>
    <row r="808" spans="1:6" x14ac:dyDescent="0.25">
      <c r="A808" s="1"/>
      <c r="B808" s="191"/>
      <c r="C808" s="1"/>
      <c r="D808" s="191"/>
      <c r="E808" s="1"/>
      <c r="F808" s="1"/>
    </row>
    <row r="809" spans="1:6" x14ac:dyDescent="0.25">
      <c r="A809" s="1"/>
      <c r="B809" s="191"/>
      <c r="C809" s="1"/>
      <c r="D809" s="1"/>
      <c r="E809" s="1"/>
      <c r="F809" s="1"/>
    </row>
    <row r="810" spans="1:6" x14ac:dyDescent="0.25">
      <c r="A810" s="1"/>
      <c r="B810" s="191"/>
      <c r="C810" s="1"/>
      <c r="D810" s="1"/>
      <c r="E810" s="1"/>
      <c r="F810" s="1"/>
    </row>
    <row r="811" spans="1:6" x14ac:dyDescent="0.25">
      <c r="A811" s="1"/>
      <c r="B811" s="191"/>
      <c r="C811" s="1"/>
      <c r="D811" s="1"/>
      <c r="E811" s="1"/>
      <c r="F811" s="1"/>
    </row>
    <row r="812" spans="1:6" x14ac:dyDescent="0.25">
      <c r="A812" s="1"/>
      <c r="B812" s="191"/>
      <c r="C812" s="191"/>
      <c r="D812" s="191"/>
      <c r="E812" s="1"/>
      <c r="F812" s="1"/>
    </row>
    <row r="813" spans="1:6" x14ac:dyDescent="0.25">
      <c r="A813" s="1"/>
      <c r="B813" s="191"/>
      <c r="C813" s="1"/>
      <c r="D813" s="1"/>
      <c r="E813" s="1"/>
      <c r="F813" s="1"/>
    </row>
    <row r="814" spans="1:6" x14ac:dyDescent="0.25">
      <c r="A814" s="1"/>
      <c r="B814" s="191"/>
      <c r="C814" s="1"/>
      <c r="D814" s="1"/>
      <c r="E814" s="1"/>
      <c r="F814" s="1"/>
    </row>
    <row r="815" spans="1:6" x14ac:dyDescent="0.25">
      <c r="A815" s="1"/>
      <c r="B815" s="191"/>
      <c r="C815" s="191"/>
      <c r="D815" s="191"/>
      <c r="E815" s="1"/>
      <c r="F815" s="1"/>
    </row>
    <row r="816" spans="1:6" x14ac:dyDescent="0.25">
      <c r="A816" s="1"/>
      <c r="B816" s="191"/>
      <c r="C816" s="1"/>
      <c r="D816" s="1"/>
      <c r="E816" s="191"/>
      <c r="F816" s="1"/>
    </row>
    <row r="817" spans="1:6" x14ac:dyDescent="0.25">
      <c r="A817" s="1"/>
      <c r="B817" s="191"/>
      <c r="C817" s="1"/>
      <c r="D817" s="1"/>
      <c r="E817" s="1"/>
      <c r="F817" s="1"/>
    </row>
    <row r="818" spans="1:6" x14ac:dyDescent="0.25">
      <c r="A818" s="1"/>
      <c r="B818" s="191"/>
      <c r="C818" s="1"/>
      <c r="D818" s="1"/>
      <c r="E818" s="1"/>
      <c r="F818" s="1"/>
    </row>
    <row r="819" spans="1:6" x14ac:dyDescent="0.25">
      <c r="A819" s="1"/>
      <c r="B819" s="191"/>
      <c r="C819" s="1"/>
      <c r="D819" s="1"/>
      <c r="E819" s="1"/>
      <c r="F819" s="1"/>
    </row>
    <row r="820" spans="1:6" x14ac:dyDescent="0.25">
      <c r="A820" s="1"/>
      <c r="B820" s="191"/>
      <c r="C820" s="1"/>
      <c r="D820" s="1"/>
      <c r="E820" s="1"/>
      <c r="F820" s="1"/>
    </row>
    <row r="821" spans="1:6" x14ac:dyDescent="0.25">
      <c r="A821" s="1"/>
      <c r="B821" s="191"/>
      <c r="C821" s="1"/>
      <c r="D821" s="1"/>
      <c r="E821" s="1"/>
      <c r="F821" s="1"/>
    </row>
    <row r="822" spans="1:6" x14ac:dyDescent="0.25">
      <c r="A822" s="1"/>
      <c r="B822" s="191"/>
      <c r="C822" s="1"/>
      <c r="D822" s="1"/>
      <c r="E822" s="1"/>
      <c r="F822" s="1"/>
    </row>
    <row r="823" spans="1:6" x14ac:dyDescent="0.25">
      <c r="A823" s="1"/>
      <c r="B823" s="191"/>
      <c r="C823" s="1"/>
      <c r="D823" s="1"/>
      <c r="E823" s="1"/>
      <c r="F823" s="1"/>
    </row>
    <row r="824" spans="1:6" x14ac:dyDescent="0.25">
      <c r="A824" s="1"/>
      <c r="B824" s="191"/>
      <c r="C824" s="1"/>
      <c r="D824" s="1"/>
      <c r="E824" s="1"/>
      <c r="F824" s="1"/>
    </row>
    <row r="825" spans="1:6" ht="179.25" customHeight="1" x14ac:dyDescent="0.25">
      <c r="A825" s="1"/>
      <c r="B825" s="191"/>
      <c r="C825" s="1"/>
      <c r="D825" s="1"/>
      <c r="E825" s="1"/>
      <c r="F825" s="1"/>
    </row>
    <row r="826" spans="1:6" x14ac:dyDescent="0.25">
      <c r="A826" s="1"/>
      <c r="B826" s="191"/>
      <c r="C826" s="1"/>
      <c r="D826" s="1"/>
      <c r="E826" s="1"/>
      <c r="F826" s="1"/>
    </row>
    <row r="827" spans="1:6" ht="179.25" customHeight="1" x14ac:dyDescent="0.25">
      <c r="A827" s="1"/>
      <c r="B827" s="191"/>
      <c r="C827" s="1"/>
      <c r="D827" s="1"/>
      <c r="E827" s="1"/>
      <c r="F827" s="1"/>
    </row>
    <row r="828" spans="1:6" ht="59.25" customHeight="1" x14ac:dyDescent="0.25">
      <c r="A828" s="1"/>
      <c r="B828" s="191"/>
      <c r="C828" s="1"/>
      <c r="D828" s="1"/>
      <c r="E828" s="1"/>
      <c r="F828" s="1"/>
    </row>
    <row r="829" spans="1:6" x14ac:dyDescent="0.25">
      <c r="A829" s="1"/>
      <c r="B829" s="191"/>
      <c r="C829" s="1"/>
      <c r="D829" s="1"/>
      <c r="E829" s="1"/>
      <c r="F829" s="1"/>
    </row>
    <row r="830" spans="1:6" ht="59.25" customHeight="1" x14ac:dyDescent="0.25">
      <c r="A830" s="1"/>
      <c r="B830" s="191"/>
      <c r="C830" s="1"/>
      <c r="D830" s="1"/>
      <c r="E830" s="1"/>
      <c r="F830" s="1"/>
    </row>
    <row r="831" spans="1:6" x14ac:dyDescent="0.25">
      <c r="A831" s="1"/>
      <c r="B831" s="191"/>
      <c r="C831" s="1"/>
      <c r="D831" s="1"/>
      <c r="E831" s="1"/>
      <c r="F831" s="1"/>
    </row>
    <row r="832" spans="1:6" x14ac:dyDescent="0.25">
      <c r="A832" s="1"/>
      <c r="B832" s="191"/>
      <c r="C832" s="1"/>
      <c r="D832" s="1"/>
      <c r="E832" s="1"/>
      <c r="F832" s="1"/>
    </row>
    <row r="833" spans="1:6" x14ac:dyDescent="0.25">
      <c r="A833" s="1"/>
      <c r="B833" s="191"/>
      <c r="C833" s="1"/>
      <c r="D833" s="1"/>
      <c r="E833" s="1"/>
      <c r="F833" s="1"/>
    </row>
    <row r="834" spans="1:6" x14ac:dyDescent="0.25">
      <c r="A834" s="1"/>
      <c r="B834" s="191"/>
      <c r="C834" s="1"/>
      <c r="D834" s="1"/>
      <c r="E834" s="1"/>
      <c r="F834" s="1"/>
    </row>
    <row r="835" spans="1:6" x14ac:dyDescent="0.25">
      <c r="A835" s="1"/>
      <c r="B835" s="191"/>
      <c r="C835" s="1"/>
      <c r="D835" s="1"/>
      <c r="E835" s="1"/>
      <c r="F835" s="1"/>
    </row>
    <row r="836" spans="1:6" x14ac:dyDescent="0.25">
      <c r="A836" s="1"/>
      <c r="B836" s="191"/>
      <c r="C836" s="1"/>
      <c r="D836" s="1"/>
      <c r="E836" s="1"/>
      <c r="F836" s="1"/>
    </row>
    <row r="837" spans="1:6" x14ac:dyDescent="0.25">
      <c r="A837" s="1"/>
      <c r="B837" s="191"/>
      <c r="C837" s="1"/>
      <c r="D837" s="1"/>
      <c r="E837" s="1"/>
      <c r="F837" s="1"/>
    </row>
    <row r="838" spans="1:6" x14ac:dyDescent="0.25">
      <c r="A838" s="1"/>
      <c r="B838" s="191"/>
      <c r="C838" s="191"/>
      <c r="D838" s="191"/>
      <c r="E838" s="1"/>
      <c r="F838" s="1"/>
    </row>
    <row r="839" spans="1:6" x14ac:dyDescent="0.25">
      <c r="A839" s="1"/>
      <c r="B839" s="193"/>
      <c r="C839" s="1"/>
      <c r="D839" s="1"/>
      <c r="E839" s="1"/>
      <c r="F839" s="1"/>
    </row>
    <row r="840" spans="1:6" x14ac:dyDescent="0.25">
      <c r="A840" s="1"/>
      <c r="B840" s="193"/>
      <c r="C840" s="1"/>
      <c r="D840" s="1"/>
      <c r="E840" s="1"/>
      <c r="F840" s="1"/>
    </row>
    <row r="841" spans="1:6" x14ac:dyDescent="0.25">
      <c r="A841" s="1"/>
      <c r="B841" s="193"/>
      <c r="C841" s="1"/>
      <c r="D841" s="1"/>
      <c r="E841" s="1"/>
      <c r="F841" s="1"/>
    </row>
    <row r="842" spans="1:6" x14ac:dyDescent="0.25">
      <c r="A842" s="1"/>
      <c r="B842" s="193"/>
      <c r="C842" s="1"/>
      <c r="D842" s="1"/>
      <c r="E842" s="1"/>
      <c r="F842" s="1"/>
    </row>
    <row r="843" spans="1:6" ht="89.25" customHeight="1" x14ac:dyDescent="0.25">
      <c r="A843" s="1"/>
      <c r="B843" s="193"/>
      <c r="C843" s="1"/>
      <c r="D843" s="1"/>
      <c r="E843" s="1"/>
      <c r="F843" s="1"/>
    </row>
    <row r="844" spans="1:6" x14ac:dyDescent="0.25">
      <c r="A844" s="1"/>
      <c r="B844" s="193"/>
      <c r="C844" s="1"/>
      <c r="D844" s="1"/>
      <c r="E844" s="1"/>
      <c r="F844" s="1"/>
    </row>
    <row r="845" spans="1:6" ht="89.25" customHeight="1" x14ac:dyDescent="0.25">
      <c r="A845" s="1"/>
      <c r="B845" s="193"/>
      <c r="C845" s="1"/>
      <c r="D845" s="1"/>
      <c r="E845" s="1"/>
      <c r="F845" s="1"/>
    </row>
    <row r="846" spans="1:6" x14ac:dyDescent="0.25">
      <c r="A846" s="1"/>
      <c r="B846" s="193"/>
      <c r="C846" s="1"/>
      <c r="D846" s="1"/>
      <c r="E846" s="1"/>
      <c r="F846" s="1"/>
    </row>
    <row r="847" spans="1:6" x14ac:dyDescent="0.25">
      <c r="A847" s="1"/>
      <c r="B847" s="193"/>
      <c r="C847" s="1"/>
      <c r="D847" s="1"/>
      <c r="E847" s="1"/>
      <c r="F847" s="1"/>
    </row>
    <row r="848" spans="1:6" x14ac:dyDescent="0.25">
      <c r="A848" s="1"/>
      <c r="B848" s="191"/>
      <c r="C848" s="1"/>
      <c r="D848" s="1"/>
      <c r="E848" s="1"/>
      <c r="F848" s="1"/>
    </row>
    <row r="849" spans="1:6" x14ac:dyDescent="0.25">
      <c r="A849" s="1"/>
      <c r="B849" s="193"/>
      <c r="C849" s="1"/>
      <c r="D849" s="1"/>
      <c r="E849" s="1"/>
      <c r="F849" s="1"/>
    </row>
    <row r="850" spans="1:6" ht="15.75" x14ac:dyDescent="0.25">
      <c r="A850" s="1"/>
      <c r="B850" s="192"/>
      <c r="C850" s="1"/>
      <c r="D850" s="1"/>
      <c r="E850" s="1"/>
      <c r="F850" s="1"/>
    </row>
    <row r="851" spans="1:6" x14ac:dyDescent="0.25">
      <c r="A851" s="1"/>
      <c r="B851" s="191"/>
      <c r="C851" s="1"/>
      <c r="D851" s="1"/>
      <c r="E851" s="1"/>
      <c r="F851" s="1"/>
    </row>
    <row r="852" spans="1:6" x14ac:dyDescent="0.25">
      <c r="A852" s="1"/>
      <c r="B852" s="191"/>
      <c r="C852" s="1"/>
      <c r="D852" s="1"/>
      <c r="E852" s="1"/>
      <c r="F852" s="1"/>
    </row>
    <row r="853" spans="1:6" x14ac:dyDescent="0.25">
      <c r="A853" s="1"/>
      <c r="B853" s="191"/>
      <c r="C853" s="1"/>
      <c r="D853" s="1"/>
      <c r="E853" s="1"/>
      <c r="F853" s="1"/>
    </row>
    <row r="854" spans="1:6" x14ac:dyDescent="0.25">
      <c r="A854" s="1"/>
      <c r="B854" s="191"/>
      <c r="C854" s="1"/>
      <c r="D854" s="1"/>
      <c r="E854" s="1"/>
      <c r="F854" s="1"/>
    </row>
    <row r="855" spans="1:6" x14ac:dyDescent="0.25">
      <c r="A855" s="1"/>
      <c r="B855" s="191"/>
      <c r="C855" s="1"/>
      <c r="D855" s="1"/>
      <c r="E855" s="1"/>
      <c r="F855" s="1"/>
    </row>
    <row r="856" spans="1:6" x14ac:dyDescent="0.25">
      <c r="A856" s="1"/>
      <c r="B856" s="191"/>
      <c r="C856" s="1"/>
      <c r="D856" s="1"/>
      <c r="E856" s="1"/>
      <c r="F856" s="1"/>
    </row>
    <row r="857" spans="1:6" x14ac:dyDescent="0.25">
      <c r="A857" s="1"/>
      <c r="B857" s="191"/>
      <c r="C857" s="1"/>
      <c r="D857" s="1"/>
      <c r="E857" s="1"/>
      <c r="F857" s="1"/>
    </row>
    <row r="858" spans="1:6" x14ac:dyDescent="0.25">
      <c r="A858" s="1"/>
      <c r="B858" s="191"/>
      <c r="C858" s="1"/>
      <c r="D858" s="1"/>
      <c r="E858" s="1"/>
      <c r="F858" s="1"/>
    </row>
    <row r="859" spans="1:6" x14ac:dyDescent="0.25">
      <c r="A859" s="1"/>
      <c r="B859" s="191"/>
      <c r="C859" s="1"/>
      <c r="D859" s="1"/>
      <c r="E859" s="1"/>
      <c r="F859" s="1"/>
    </row>
    <row r="860" spans="1:6" x14ac:dyDescent="0.25">
      <c r="A860" s="1"/>
      <c r="B860" s="164"/>
      <c r="C860" s="1"/>
      <c r="D860" s="1"/>
      <c r="E860" s="1"/>
      <c r="F860" s="1"/>
    </row>
    <row r="861" spans="1:6" x14ac:dyDescent="0.25">
      <c r="A861" s="1"/>
      <c r="B861" s="164"/>
      <c r="C861" s="1"/>
      <c r="D861" s="1"/>
      <c r="E861" s="1"/>
      <c r="F861" s="1"/>
    </row>
    <row r="862" spans="1:6" x14ac:dyDescent="0.25">
      <c r="A862" s="1"/>
      <c r="B862" s="191"/>
      <c r="C862" s="1"/>
      <c r="D862" s="1"/>
      <c r="E862" s="1"/>
      <c r="F862" s="1"/>
    </row>
    <row r="863" spans="1:6" x14ac:dyDescent="0.25">
      <c r="A863" s="1"/>
      <c r="B863" s="191"/>
      <c r="C863" s="1"/>
      <c r="D863" s="1"/>
      <c r="E863" s="1"/>
      <c r="F863" s="1"/>
    </row>
    <row r="864" spans="1:6" x14ac:dyDescent="0.25">
      <c r="A864" s="1"/>
      <c r="B864" s="191"/>
      <c r="C864" s="1"/>
      <c r="D864" s="1"/>
      <c r="E864" s="1"/>
      <c r="F864" s="1"/>
    </row>
    <row r="865" spans="1:6" ht="15.75" x14ac:dyDescent="0.25">
      <c r="A865" s="1"/>
      <c r="B865" s="192"/>
      <c r="C865" s="1"/>
      <c r="D865" s="1"/>
      <c r="E865" s="1"/>
      <c r="F865" s="1"/>
    </row>
    <row r="866" spans="1:6" ht="153.75" customHeight="1" x14ac:dyDescent="0.25">
      <c r="A866" s="1"/>
      <c r="B866" s="194"/>
      <c r="C866" s="1"/>
      <c r="D866" s="1"/>
      <c r="E866" s="1"/>
      <c r="F866" s="1"/>
    </row>
    <row r="867" spans="1:6" x14ac:dyDescent="0.25">
      <c r="A867" s="1"/>
      <c r="B867" s="194"/>
      <c r="C867" s="1"/>
      <c r="D867" s="1"/>
      <c r="E867" s="1"/>
      <c r="F867" s="1"/>
    </row>
    <row r="868" spans="1:6" ht="153.75" customHeight="1" x14ac:dyDescent="0.25">
      <c r="A868" s="1"/>
      <c r="B868" s="191"/>
      <c r="C868" s="1"/>
      <c r="D868" s="1"/>
      <c r="E868" s="1"/>
      <c r="F868" s="1"/>
    </row>
    <row r="869" spans="1:6" x14ac:dyDescent="0.25">
      <c r="A869" s="1"/>
      <c r="B869" s="191"/>
      <c r="C869" s="1"/>
      <c r="D869" s="1"/>
      <c r="E869" s="1"/>
      <c r="F869" s="1"/>
    </row>
    <row r="870" spans="1:6" x14ac:dyDescent="0.25">
      <c r="A870" s="1"/>
      <c r="B870" s="191"/>
      <c r="C870" s="1"/>
      <c r="D870" s="1"/>
      <c r="E870" s="1"/>
      <c r="F870" s="1"/>
    </row>
    <row r="871" spans="1:6" ht="15.75" x14ac:dyDescent="0.25">
      <c r="A871" s="1"/>
      <c r="B871" s="192"/>
      <c r="C871" s="1"/>
      <c r="D871" s="1"/>
      <c r="E871" s="1"/>
      <c r="F871" s="1"/>
    </row>
    <row r="872" spans="1:6" x14ac:dyDescent="0.25">
      <c r="A872" s="1"/>
      <c r="B872" s="191"/>
      <c r="C872" s="1"/>
      <c r="D872" s="1"/>
      <c r="E872" s="1"/>
      <c r="F872" s="1"/>
    </row>
    <row r="873" spans="1:6" x14ac:dyDescent="0.25">
      <c r="A873" s="1"/>
      <c r="B873" s="191"/>
      <c r="C873" s="1"/>
      <c r="D873" s="1"/>
      <c r="E873" s="1"/>
      <c r="F873" s="1"/>
    </row>
    <row r="874" spans="1:6" ht="59.25" customHeight="1" x14ac:dyDescent="0.25">
      <c r="A874" s="1"/>
      <c r="B874" s="191"/>
      <c r="C874" s="1"/>
      <c r="D874" s="1"/>
      <c r="E874" s="1"/>
      <c r="F874" s="1"/>
    </row>
    <row r="875" spans="1:6" x14ac:dyDescent="0.25">
      <c r="A875" s="1"/>
      <c r="B875" s="191"/>
      <c r="C875" s="1"/>
      <c r="D875" s="1"/>
      <c r="E875" s="1"/>
      <c r="F875" s="1"/>
    </row>
    <row r="876" spans="1:6" ht="59.25" customHeight="1" x14ac:dyDescent="0.25">
      <c r="A876" s="1"/>
      <c r="B876" s="191"/>
      <c r="C876" s="1"/>
      <c r="D876" s="1"/>
      <c r="E876" s="1"/>
      <c r="F876" s="1"/>
    </row>
    <row r="877" spans="1:6" x14ac:dyDescent="0.25">
      <c r="A877" s="1"/>
      <c r="B877" s="164"/>
      <c r="C877" s="1"/>
      <c r="D877" s="1"/>
      <c r="E877" s="1"/>
      <c r="F877" s="1"/>
    </row>
    <row r="878" spans="1:6" x14ac:dyDescent="0.25">
      <c r="A878" s="1"/>
      <c r="B878" s="164"/>
      <c r="C878" s="1"/>
      <c r="D878" s="1"/>
      <c r="E878" s="1"/>
      <c r="F878" s="1"/>
    </row>
    <row r="879" spans="1:6" x14ac:dyDescent="0.25">
      <c r="A879" s="1"/>
      <c r="B879" s="191"/>
      <c r="C879" s="1"/>
      <c r="D879" s="1"/>
      <c r="E879" s="1"/>
      <c r="F879" s="1"/>
    </row>
    <row r="880" spans="1:6" x14ac:dyDescent="0.25">
      <c r="A880" s="1"/>
      <c r="B880" s="191"/>
      <c r="C880" s="1"/>
      <c r="D880" s="1"/>
      <c r="E880" s="1"/>
      <c r="F880" s="1"/>
    </row>
    <row r="881" spans="1:6" x14ac:dyDescent="0.25">
      <c r="A881" s="1"/>
      <c r="B881" s="191"/>
      <c r="C881" s="1"/>
      <c r="D881" s="1"/>
      <c r="E881" s="1"/>
      <c r="F881" s="1"/>
    </row>
    <row r="882" spans="1:6" x14ac:dyDescent="0.25">
      <c r="A882" s="1"/>
      <c r="B882" s="191"/>
      <c r="C882" s="1"/>
      <c r="D882" s="1"/>
      <c r="E882" s="1"/>
      <c r="F882" s="1"/>
    </row>
    <row r="883" spans="1:6" x14ac:dyDescent="0.25">
      <c r="A883" s="1"/>
      <c r="B883" s="191"/>
      <c r="C883" s="1"/>
      <c r="D883" s="1"/>
      <c r="E883" s="1"/>
      <c r="F883" s="1"/>
    </row>
    <row r="884" spans="1:6" x14ac:dyDescent="0.25">
      <c r="A884" s="1"/>
      <c r="B884" s="191"/>
      <c r="C884" s="1"/>
      <c r="D884" s="1"/>
      <c r="E884" s="1"/>
      <c r="F884" s="1"/>
    </row>
    <row r="885" spans="1:6" x14ac:dyDescent="0.25">
      <c r="A885" s="1"/>
      <c r="B885" s="191"/>
      <c r="C885" s="1"/>
      <c r="D885" s="1"/>
      <c r="E885" s="1"/>
      <c r="F885" s="1"/>
    </row>
    <row r="886" spans="1:6" x14ac:dyDescent="0.25">
      <c r="A886" s="1"/>
      <c r="B886" s="191"/>
      <c r="C886" s="1"/>
      <c r="D886" s="1"/>
      <c r="E886" s="1"/>
      <c r="F886" s="1"/>
    </row>
    <row r="887" spans="1:6" x14ac:dyDescent="0.25">
      <c r="A887" s="1"/>
      <c r="B887" s="191"/>
      <c r="C887" s="1"/>
      <c r="D887" s="1"/>
      <c r="E887" s="1"/>
      <c r="F887" s="1"/>
    </row>
    <row r="888" spans="1:6" x14ac:dyDescent="0.25">
      <c r="A888" s="1"/>
      <c r="B888" s="191"/>
      <c r="C888" s="1"/>
      <c r="D888" s="1"/>
      <c r="E888" s="1"/>
      <c r="F888" s="1"/>
    </row>
    <row r="889" spans="1:6" x14ac:dyDescent="0.25">
      <c r="A889" s="1"/>
      <c r="B889" s="191"/>
      <c r="C889" s="1"/>
      <c r="D889" s="1"/>
      <c r="E889" s="1"/>
      <c r="F889" s="1"/>
    </row>
    <row r="890" spans="1:6" x14ac:dyDescent="0.25">
      <c r="A890" s="1"/>
      <c r="B890" s="191"/>
      <c r="C890" s="1"/>
      <c r="D890" s="1"/>
      <c r="E890" s="1"/>
      <c r="F890" s="1"/>
    </row>
    <row r="891" spans="1:6" x14ac:dyDescent="0.25">
      <c r="A891" s="1"/>
      <c r="B891" s="191"/>
      <c r="C891" s="1"/>
      <c r="D891" s="1"/>
      <c r="E891" s="1"/>
      <c r="F891" s="1"/>
    </row>
    <row r="892" spans="1:6" x14ac:dyDescent="0.25">
      <c r="A892" s="1"/>
      <c r="B892" s="191"/>
      <c r="C892" s="1"/>
      <c r="D892" s="1"/>
      <c r="E892" s="1"/>
      <c r="F892" s="1"/>
    </row>
    <row r="893" spans="1:6" x14ac:dyDescent="0.25">
      <c r="A893" s="1"/>
      <c r="B893" s="191"/>
      <c r="C893" s="1"/>
      <c r="D893" s="1"/>
      <c r="E893" s="1"/>
      <c r="F893" s="1"/>
    </row>
    <row r="894" spans="1:6" x14ac:dyDescent="0.25">
      <c r="A894" s="1"/>
      <c r="B894" s="191"/>
      <c r="C894" s="1"/>
      <c r="D894" s="164"/>
      <c r="E894" s="1"/>
      <c r="F894" s="1"/>
    </row>
    <row r="895" spans="1:6" x14ac:dyDescent="0.25">
      <c r="A895" s="1"/>
      <c r="B895" s="191"/>
      <c r="C895" s="1"/>
      <c r="D895" s="164"/>
      <c r="E895" s="1"/>
      <c r="F895" s="1"/>
    </row>
    <row r="896" spans="1:6" x14ac:dyDescent="0.25">
      <c r="A896" s="1"/>
      <c r="B896" s="191"/>
      <c r="C896" s="1"/>
      <c r="D896" s="1"/>
      <c r="E896" s="1"/>
      <c r="F896" s="1"/>
    </row>
    <row r="897" spans="1:6" x14ac:dyDescent="0.25">
      <c r="A897" s="1"/>
      <c r="B897" s="191"/>
      <c r="C897" s="1"/>
      <c r="D897" s="1"/>
      <c r="E897" s="1"/>
      <c r="F897" s="1"/>
    </row>
    <row r="898" spans="1:6" x14ac:dyDescent="0.25">
      <c r="A898" s="1"/>
      <c r="B898" s="191"/>
      <c r="C898" s="1"/>
      <c r="D898" s="1"/>
      <c r="E898" s="1"/>
      <c r="F898" s="1"/>
    </row>
    <row r="899" spans="1:6" x14ac:dyDescent="0.25">
      <c r="A899" s="1"/>
      <c r="B899" s="191"/>
      <c r="C899" s="1"/>
      <c r="D899" s="1"/>
      <c r="E899" s="1"/>
      <c r="F899" s="1"/>
    </row>
    <row r="900" spans="1:6" x14ac:dyDescent="0.25">
      <c r="A900" s="1"/>
      <c r="B900" s="191"/>
      <c r="C900" s="1"/>
      <c r="D900" s="1"/>
      <c r="E900" s="1"/>
      <c r="F900" s="1"/>
    </row>
    <row r="901" spans="1:6" x14ac:dyDescent="0.25">
      <c r="A901" s="1"/>
      <c r="B901" s="191"/>
      <c r="C901" s="1"/>
      <c r="D901" s="1"/>
      <c r="E901" s="1"/>
      <c r="F901" s="1"/>
    </row>
    <row r="902" spans="1:6" x14ac:dyDescent="0.25">
      <c r="A902" s="1"/>
      <c r="B902" s="191"/>
      <c r="C902" s="1"/>
      <c r="D902" s="1"/>
      <c r="E902" s="1"/>
      <c r="F902" s="1"/>
    </row>
    <row r="903" spans="1:6" x14ac:dyDescent="0.25">
      <c r="A903" s="1"/>
      <c r="B903" s="191"/>
      <c r="C903" s="1"/>
      <c r="D903" s="1"/>
      <c r="E903" s="1"/>
      <c r="F903" s="1"/>
    </row>
    <row r="904" spans="1:6" x14ac:dyDescent="0.25">
      <c r="A904" s="1"/>
      <c r="B904" s="191"/>
      <c r="C904" s="1"/>
      <c r="D904" s="1"/>
      <c r="E904" s="1"/>
      <c r="F904" s="1"/>
    </row>
    <row r="905" spans="1:6" x14ac:dyDescent="0.25">
      <c r="A905" s="1"/>
      <c r="B905" s="191"/>
      <c r="C905" s="1"/>
      <c r="D905" s="1"/>
      <c r="E905" s="1"/>
      <c r="F905" s="1"/>
    </row>
    <row r="906" spans="1:6" x14ac:dyDescent="0.25">
      <c r="A906" s="1"/>
      <c r="B906" s="191"/>
      <c r="C906" s="1"/>
      <c r="D906" s="1"/>
      <c r="E906" s="1"/>
      <c r="F906" s="1"/>
    </row>
    <row r="907" spans="1:6" x14ac:dyDescent="0.25">
      <c r="A907" s="1"/>
      <c r="B907" s="191"/>
      <c r="C907" s="1"/>
      <c r="D907" s="1"/>
      <c r="E907" s="1"/>
      <c r="F907" s="1"/>
    </row>
    <row r="908" spans="1:6" x14ac:dyDescent="0.25">
      <c r="A908" s="1"/>
      <c r="B908" s="191"/>
      <c r="C908" s="1"/>
      <c r="D908" s="1"/>
      <c r="E908" s="1"/>
      <c r="F908" s="1"/>
    </row>
    <row r="909" spans="1:6" x14ac:dyDescent="0.25">
      <c r="A909" s="1"/>
      <c r="B909" s="191"/>
      <c r="C909" s="1"/>
      <c r="D909" s="1"/>
      <c r="E909" s="1"/>
      <c r="F909" s="1"/>
    </row>
    <row r="910" spans="1:6" x14ac:dyDescent="0.25">
      <c r="A910" s="1"/>
      <c r="B910" s="191"/>
      <c r="C910" s="1"/>
      <c r="D910" s="1"/>
      <c r="E910" s="1"/>
      <c r="F910" s="1"/>
    </row>
    <row r="911" spans="1:6" x14ac:dyDescent="0.25">
      <c r="A911" s="1"/>
      <c r="B911" s="191"/>
      <c r="C911" s="1"/>
      <c r="D911" s="1"/>
      <c r="E911" s="1"/>
      <c r="F911" s="1"/>
    </row>
    <row r="912" spans="1:6" x14ac:dyDescent="0.25">
      <c r="A912" s="1"/>
      <c r="B912" s="191"/>
      <c r="C912" s="1"/>
      <c r="D912" s="1"/>
      <c r="E912" s="1"/>
      <c r="F912" s="1"/>
    </row>
    <row r="913" spans="1:6" x14ac:dyDescent="0.25">
      <c r="A913" s="1"/>
      <c r="B913" s="191"/>
      <c r="C913" s="1"/>
      <c r="D913" s="1"/>
      <c r="E913" s="1"/>
      <c r="F913" s="1"/>
    </row>
    <row r="914" spans="1:6" x14ac:dyDescent="0.25">
      <c r="A914" s="1"/>
      <c r="B914" s="191"/>
      <c r="C914" s="1"/>
      <c r="D914" s="1"/>
      <c r="E914" s="1"/>
      <c r="F914" s="1"/>
    </row>
    <row r="915" spans="1:6" x14ac:dyDescent="0.25">
      <c r="A915" s="1"/>
      <c r="B915" s="191"/>
      <c r="C915" s="1"/>
      <c r="D915" s="1"/>
      <c r="E915" s="1"/>
      <c r="F915" s="1"/>
    </row>
    <row r="916" spans="1:6" x14ac:dyDescent="0.25">
      <c r="A916" s="1"/>
      <c r="B916" s="191"/>
      <c r="C916" s="1"/>
      <c r="D916" s="1"/>
      <c r="E916" s="1"/>
      <c r="F916" s="1"/>
    </row>
    <row r="917" spans="1:6" x14ac:dyDescent="0.25">
      <c r="A917" s="1"/>
      <c r="B917" s="191"/>
      <c r="C917" s="1"/>
      <c r="D917" s="1"/>
      <c r="E917" s="1"/>
      <c r="F917" s="1"/>
    </row>
    <row r="918" spans="1:6" x14ac:dyDescent="0.25">
      <c r="A918" s="1"/>
      <c r="B918" s="191"/>
      <c r="C918" s="1"/>
      <c r="D918" s="1"/>
      <c r="E918" s="1"/>
      <c r="F918" s="1"/>
    </row>
    <row r="919" spans="1:6" x14ac:dyDescent="0.25">
      <c r="A919" s="1"/>
      <c r="B919" s="191"/>
      <c r="C919" s="1"/>
      <c r="D919" s="1"/>
      <c r="E919" s="1"/>
      <c r="F919" s="1"/>
    </row>
    <row r="920" spans="1:6" x14ac:dyDescent="0.25">
      <c r="A920" s="1"/>
      <c r="B920" s="191"/>
      <c r="C920" s="1"/>
      <c r="D920" s="1"/>
      <c r="E920" s="1"/>
      <c r="F920" s="1"/>
    </row>
    <row r="921" spans="1:6" x14ac:dyDescent="0.25">
      <c r="A921" s="1"/>
      <c r="B921" s="191"/>
      <c r="C921" s="1"/>
      <c r="D921" s="1"/>
      <c r="E921" s="1"/>
      <c r="F921" s="1"/>
    </row>
    <row r="922" spans="1:6" x14ac:dyDescent="0.25">
      <c r="A922" s="1"/>
      <c r="B922" s="191"/>
      <c r="C922" s="1"/>
      <c r="D922" s="1"/>
      <c r="E922" s="1"/>
      <c r="F922" s="1"/>
    </row>
    <row r="923" spans="1:6" x14ac:dyDescent="0.25">
      <c r="A923" s="1"/>
      <c r="B923" s="191"/>
      <c r="C923" s="1"/>
      <c r="D923" s="1"/>
      <c r="E923" s="1"/>
      <c r="F923" s="1"/>
    </row>
    <row r="924" spans="1:6" x14ac:dyDescent="0.25">
      <c r="A924" s="1"/>
      <c r="B924" s="191"/>
      <c r="C924" s="1"/>
      <c r="D924" s="1"/>
      <c r="E924" s="1"/>
      <c r="F924" s="1"/>
    </row>
    <row r="925" spans="1:6" x14ac:dyDescent="0.25">
      <c r="A925" s="1"/>
      <c r="B925" s="191"/>
      <c r="C925" s="1"/>
      <c r="D925" s="1"/>
      <c r="E925" s="1"/>
      <c r="F925" s="1"/>
    </row>
    <row r="926" spans="1:6" x14ac:dyDescent="0.25">
      <c r="A926" s="1"/>
      <c r="B926" s="191"/>
      <c r="C926" s="1"/>
      <c r="D926" s="1"/>
      <c r="E926" s="1"/>
      <c r="F926" s="1"/>
    </row>
    <row r="927" spans="1:6" x14ac:dyDescent="0.25">
      <c r="A927" s="1"/>
      <c r="B927" s="191"/>
      <c r="C927" s="1"/>
      <c r="D927" s="1"/>
      <c r="E927" s="1"/>
      <c r="F927" s="1"/>
    </row>
    <row r="928" spans="1:6" x14ac:dyDescent="0.25">
      <c r="A928" s="1"/>
      <c r="B928" s="191"/>
      <c r="C928" s="1"/>
      <c r="D928" s="1"/>
      <c r="E928" s="1"/>
      <c r="F928" s="1"/>
    </row>
    <row r="929" spans="1:6" x14ac:dyDescent="0.25">
      <c r="A929" s="1"/>
      <c r="B929" s="191"/>
      <c r="C929" s="1"/>
      <c r="D929" s="1"/>
      <c r="E929" s="1"/>
      <c r="F929" s="1"/>
    </row>
    <row r="930" spans="1:6" x14ac:dyDescent="0.25">
      <c r="A930" s="1"/>
      <c r="B930" s="191"/>
      <c r="C930" s="1"/>
      <c r="D930" s="1"/>
      <c r="E930" s="1"/>
      <c r="F930" s="1"/>
    </row>
    <row r="931" spans="1:6" x14ac:dyDescent="0.25">
      <c r="A931" s="1"/>
      <c r="B931" s="191"/>
      <c r="C931" s="1"/>
      <c r="D931" s="1"/>
      <c r="E931" s="1"/>
      <c r="F931" s="1"/>
    </row>
    <row r="932" spans="1:6" x14ac:dyDescent="0.25">
      <c r="A932" s="1"/>
      <c r="B932" s="191"/>
      <c r="C932" s="1"/>
      <c r="D932" s="1"/>
      <c r="E932" s="1"/>
      <c r="F932" s="1"/>
    </row>
    <row r="933" spans="1:6" x14ac:dyDescent="0.25">
      <c r="A933" s="1"/>
      <c r="B933" s="191"/>
      <c r="C933" s="1"/>
      <c r="D933" s="1"/>
      <c r="E933" s="1"/>
      <c r="F933" s="1"/>
    </row>
    <row r="934" spans="1:6" x14ac:dyDescent="0.25">
      <c r="A934" s="1"/>
      <c r="B934" s="191"/>
      <c r="C934" s="1"/>
      <c r="D934" s="1"/>
      <c r="E934" s="1"/>
      <c r="F934" s="1"/>
    </row>
    <row r="935" spans="1:6" x14ac:dyDescent="0.25">
      <c r="A935" s="1"/>
      <c r="B935" s="191"/>
      <c r="C935" s="1"/>
      <c r="D935" s="1"/>
      <c r="E935" s="1"/>
      <c r="F935" s="1"/>
    </row>
    <row r="936" spans="1:6" x14ac:dyDescent="0.25">
      <c r="A936" s="1"/>
      <c r="B936" s="191"/>
      <c r="C936" s="1"/>
      <c r="D936" s="1"/>
      <c r="E936" s="1"/>
      <c r="F936" s="1"/>
    </row>
    <row r="937" spans="1:6" x14ac:dyDescent="0.25">
      <c r="A937" s="1"/>
      <c r="B937" s="191"/>
      <c r="C937" s="1"/>
      <c r="D937" s="1"/>
      <c r="E937" s="1"/>
      <c r="F937" s="1"/>
    </row>
    <row r="938" spans="1:6" x14ac:dyDescent="0.25">
      <c r="A938" s="1"/>
      <c r="B938" s="191"/>
      <c r="C938" s="1"/>
      <c r="D938" s="1"/>
      <c r="E938" s="1"/>
      <c r="F938" s="1"/>
    </row>
    <row r="939" spans="1:6" ht="29.25" customHeight="1" x14ac:dyDescent="0.25">
      <c r="A939" s="1"/>
      <c r="B939" s="191"/>
      <c r="C939" s="1"/>
      <c r="D939" s="1"/>
      <c r="E939" s="1"/>
      <c r="F939" s="1"/>
    </row>
    <row r="940" spans="1:6" x14ac:dyDescent="0.25">
      <c r="A940" s="1"/>
      <c r="B940" s="191"/>
      <c r="C940" s="1"/>
      <c r="D940" s="1"/>
      <c r="E940" s="1"/>
      <c r="F940" s="1"/>
    </row>
    <row r="941" spans="1:6" ht="15" customHeight="1" x14ac:dyDescent="0.25">
      <c r="A941" s="1"/>
      <c r="B941" s="191"/>
      <c r="C941" s="1"/>
      <c r="D941" s="1"/>
      <c r="E941" s="1"/>
      <c r="F941" s="1"/>
    </row>
    <row r="942" spans="1:6" x14ac:dyDescent="0.25">
      <c r="A942" s="1"/>
      <c r="B942" s="191"/>
      <c r="C942" s="1"/>
      <c r="D942" s="1"/>
      <c r="E942" s="1"/>
      <c r="F942" s="1"/>
    </row>
    <row r="943" spans="1:6" x14ac:dyDescent="0.25">
      <c r="A943" s="1"/>
      <c r="B943" s="191"/>
      <c r="C943" s="1"/>
      <c r="D943" s="1"/>
      <c r="E943" s="1"/>
      <c r="F943" s="1"/>
    </row>
    <row r="944" spans="1:6" x14ac:dyDescent="0.25">
      <c r="A944" s="1"/>
      <c r="B944" s="191"/>
      <c r="C944" s="1"/>
      <c r="D944" s="1"/>
      <c r="E944" s="1"/>
      <c r="F944" s="1"/>
    </row>
    <row r="945" spans="1:6" x14ac:dyDescent="0.25">
      <c r="A945" s="1"/>
      <c r="B945" s="191"/>
      <c r="C945" s="1"/>
      <c r="D945" s="1"/>
      <c r="E945" s="1"/>
      <c r="F945" s="1"/>
    </row>
    <row r="946" spans="1:6" x14ac:dyDescent="0.25">
      <c r="A946" s="1"/>
      <c r="B946" s="191"/>
      <c r="C946" s="1"/>
      <c r="D946" s="1"/>
      <c r="E946" s="1"/>
      <c r="F946" s="1"/>
    </row>
    <row r="947" spans="1:6" x14ac:dyDescent="0.25">
      <c r="A947" s="1"/>
      <c r="B947" s="191"/>
      <c r="C947" s="1"/>
      <c r="D947" s="1"/>
      <c r="E947" s="1"/>
      <c r="F947" s="1"/>
    </row>
    <row r="948" spans="1:6" x14ac:dyDescent="0.25">
      <c r="A948" s="1"/>
      <c r="B948" s="191"/>
      <c r="C948" s="1"/>
      <c r="D948" s="1"/>
      <c r="E948" s="1"/>
      <c r="F948" s="1"/>
    </row>
    <row r="949" spans="1:6" x14ac:dyDescent="0.25">
      <c r="A949" s="1"/>
      <c r="B949" s="191"/>
      <c r="C949" s="1"/>
      <c r="D949" s="1"/>
      <c r="E949" s="1"/>
      <c r="F949" s="1"/>
    </row>
    <row r="950" spans="1:6" x14ac:dyDescent="0.25">
      <c r="A950" s="1"/>
      <c r="B950" s="191"/>
      <c r="C950" s="1"/>
      <c r="D950" s="1"/>
      <c r="E950" s="1"/>
      <c r="F950" s="1"/>
    </row>
    <row r="951" spans="1:6" x14ac:dyDescent="0.25">
      <c r="A951" s="1"/>
      <c r="B951" s="191"/>
      <c r="C951" s="1"/>
      <c r="D951" s="1"/>
      <c r="E951" s="1"/>
      <c r="F951" s="1"/>
    </row>
    <row r="952" spans="1:6" x14ac:dyDescent="0.25">
      <c r="A952" s="1"/>
      <c r="B952" s="191"/>
      <c r="C952" s="1"/>
      <c r="D952" s="1"/>
      <c r="E952" s="1"/>
      <c r="F952" s="1"/>
    </row>
    <row r="953" spans="1:6" x14ac:dyDescent="0.25">
      <c r="A953" s="1"/>
      <c r="B953" s="191"/>
      <c r="C953" s="1"/>
      <c r="D953" s="1"/>
      <c r="E953" s="1"/>
      <c r="F953" s="1"/>
    </row>
    <row r="954" spans="1:6" x14ac:dyDescent="0.25">
      <c r="A954" s="1"/>
      <c r="B954" s="191"/>
      <c r="C954" s="1"/>
      <c r="D954" s="1"/>
      <c r="E954" s="1"/>
      <c r="F954" s="1"/>
    </row>
    <row r="955" spans="1:6" x14ac:dyDescent="0.25">
      <c r="A955" s="1"/>
      <c r="B955" s="191"/>
      <c r="C955" s="1"/>
      <c r="D955" s="1"/>
      <c r="E955" s="1"/>
      <c r="F955" s="1"/>
    </row>
    <row r="956" spans="1:6" x14ac:dyDescent="0.25">
      <c r="A956" s="1"/>
      <c r="B956" s="191"/>
      <c r="C956" s="1"/>
      <c r="D956" s="1"/>
      <c r="E956" s="1"/>
      <c r="F956" s="1"/>
    </row>
    <row r="957" spans="1:6" x14ac:dyDescent="0.25">
      <c r="A957" s="1"/>
      <c r="B957" s="191"/>
      <c r="C957" s="1"/>
      <c r="D957" s="1"/>
      <c r="E957" s="1"/>
      <c r="F957" s="1"/>
    </row>
    <row r="958" spans="1:6" x14ac:dyDescent="0.25">
      <c r="A958" s="1"/>
      <c r="B958" s="191"/>
      <c r="C958" s="1"/>
      <c r="D958" s="1"/>
      <c r="E958" s="1"/>
      <c r="F958" s="1"/>
    </row>
    <row r="959" spans="1:6" x14ac:dyDescent="0.25">
      <c r="A959" s="1"/>
      <c r="B959" s="191"/>
      <c r="C959" s="1"/>
      <c r="D959" s="1"/>
      <c r="E959" s="1"/>
      <c r="F959" s="1"/>
    </row>
    <row r="960" spans="1:6" x14ac:dyDescent="0.25">
      <c r="A960" s="1"/>
      <c r="B960" s="191"/>
      <c r="C960" s="1"/>
      <c r="D960" s="1"/>
      <c r="E960" s="1"/>
      <c r="F960" s="1"/>
    </row>
    <row r="961" spans="1:6" x14ac:dyDescent="0.25">
      <c r="A961" s="1"/>
      <c r="B961" s="191"/>
      <c r="C961" s="1"/>
      <c r="D961" s="1"/>
      <c r="E961" s="1"/>
      <c r="F961" s="1"/>
    </row>
    <row r="962" spans="1:6" x14ac:dyDescent="0.25">
      <c r="A962" s="1"/>
      <c r="B962" s="191"/>
      <c r="C962" s="1"/>
      <c r="D962" s="1"/>
      <c r="E962" s="1"/>
      <c r="F962" s="1"/>
    </row>
    <row r="963" spans="1:6" x14ac:dyDescent="0.25">
      <c r="A963" s="1"/>
      <c r="B963" s="191"/>
      <c r="C963" s="1"/>
      <c r="D963" s="1"/>
      <c r="E963" s="1"/>
      <c r="F963" s="1"/>
    </row>
    <row r="964" spans="1:6" x14ac:dyDescent="0.25">
      <c r="A964" s="1"/>
      <c r="B964" s="191"/>
      <c r="C964" s="1"/>
      <c r="D964" s="1"/>
      <c r="E964" s="1"/>
      <c r="F964" s="1"/>
    </row>
    <row r="965" spans="1:6" x14ac:dyDescent="0.25">
      <c r="A965" s="1"/>
      <c r="B965" s="191"/>
      <c r="C965" s="1"/>
      <c r="D965" s="1"/>
      <c r="E965" s="1"/>
      <c r="F965" s="1"/>
    </row>
    <row r="966" spans="1:6" x14ac:dyDescent="0.25">
      <c r="A966" s="1"/>
      <c r="B966" s="191"/>
      <c r="C966" s="1"/>
      <c r="D966" s="1"/>
      <c r="E966" s="1"/>
      <c r="F966" s="1"/>
    </row>
    <row r="967" spans="1:6" x14ac:dyDescent="0.25">
      <c r="A967" s="1"/>
      <c r="B967" s="191"/>
      <c r="C967" s="1"/>
      <c r="D967" s="1"/>
      <c r="E967" s="1"/>
      <c r="F967" s="1"/>
    </row>
    <row r="968" spans="1:6" x14ac:dyDescent="0.25">
      <c r="A968" s="1"/>
      <c r="B968" s="191"/>
      <c r="C968" s="1"/>
      <c r="D968" s="1"/>
      <c r="E968" s="1"/>
      <c r="F968" s="1"/>
    </row>
    <row r="969" spans="1:6" x14ac:dyDescent="0.25">
      <c r="A969" s="1"/>
      <c r="B969" s="191"/>
      <c r="C969" s="1"/>
      <c r="D969" s="1"/>
      <c r="E969" s="1"/>
      <c r="F969" s="1"/>
    </row>
    <row r="970" spans="1:6" x14ac:dyDescent="0.25">
      <c r="A970" s="1"/>
      <c r="B970" s="191"/>
      <c r="C970" s="1"/>
      <c r="D970" s="1"/>
      <c r="E970" s="1"/>
      <c r="F970" s="1"/>
    </row>
    <row r="971" spans="1:6" x14ac:dyDescent="0.25">
      <c r="A971" s="1"/>
      <c r="B971" s="191"/>
      <c r="C971" s="1"/>
      <c r="D971" s="1"/>
      <c r="E971" s="1"/>
      <c r="F971" s="1"/>
    </row>
    <row r="972" spans="1:6" x14ac:dyDescent="0.25">
      <c r="A972" s="1"/>
      <c r="B972" s="191"/>
      <c r="C972" s="1"/>
      <c r="D972" s="1"/>
      <c r="E972" s="1"/>
      <c r="F972" s="1"/>
    </row>
    <row r="973" spans="1:6" x14ac:dyDescent="0.25">
      <c r="A973" s="1"/>
      <c r="B973" s="191"/>
      <c r="C973" s="1"/>
      <c r="D973" s="1"/>
      <c r="E973" s="1"/>
      <c r="F973" s="1"/>
    </row>
    <row r="974" spans="1:6" x14ac:dyDescent="0.25">
      <c r="A974" s="1"/>
      <c r="B974" s="191"/>
      <c r="C974" s="1"/>
      <c r="D974" s="1"/>
      <c r="E974" s="1"/>
      <c r="F974" s="1"/>
    </row>
    <row r="975" spans="1:6" x14ac:dyDescent="0.25">
      <c r="A975" s="1"/>
      <c r="B975" s="191"/>
      <c r="C975" s="1"/>
      <c r="D975" s="1"/>
      <c r="E975" s="1"/>
      <c r="F975" s="1"/>
    </row>
    <row r="976" spans="1:6" x14ac:dyDescent="0.25">
      <c r="A976" s="1"/>
      <c r="B976" s="191"/>
      <c r="C976" s="1"/>
      <c r="D976" s="1"/>
      <c r="E976" s="1"/>
      <c r="F976" s="1"/>
    </row>
    <row r="977" spans="1:6" x14ac:dyDescent="0.25">
      <c r="A977" s="1"/>
      <c r="B977" s="191"/>
      <c r="C977" s="1"/>
      <c r="D977" s="1"/>
      <c r="E977" s="1"/>
      <c r="F977" s="1"/>
    </row>
    <row r="978" spans="1:6" x14ac:dyDescent="0.25">
      <c r="A978" s="1"/>
      <c r="B978" s="191"/>
      <c r="C978" s="1"/>
      <c r="D978" s="1"/>
      <c r="E978" s="1"/>
      <c r="F978" s="1"/>
    </row>
    <row r="979" spans="1:6" x14ac:dyDescent="0.25">
      <c r="A979" s="1"/>
      <c r="B979" s="191"/>
      <c r="C979" s="1"/>
      <c r="D979" s="1"/>
      <c r="E979" s="1"/>
      <c r="F979" s="1"/>
    </row>
    <row r="980" spans="1:6" x14ac:dyDescent="0.25">
      <c r="A980" s="1"/>
      <c r="B980" s="191"/>
      <c r="C980" s="1"/>
      <c r="D980" s="1"/>
      <c r="E980" s="1"/>
      <c r="F980" s="1"/>
    </row>
    <row r="981" spans="1:6" x14ac:dyDescent="0.25">
      <c r="A981" s="1"/>
      <c r="B981" s="191"/>
      <c r="C981" s="1"/>
      <c r="D981" s="1"/>
      <c r="E981" s="1"/>
      <c r="F981" s="1"/>
    </row>
    <row r="982" spans="1:6" x14ac:dyDescent="0.25">
      <c r="A982" s="1"/>
      <c r="B982" s="191"/>
      <c r="C982" s="1"/>
      <c r="D982" s="1"/>
      <c r="E982" s="1"/>
      <c r="F982" s="1"/>
    </row>
    <row r="983" spans="1:6" x14ac:dyDescent="0.25">
      <c r="A983" s="1"/>
      <c r="B983" s="191"/>
      <c r="C983" s="1"/>
      <c r="D983" s="1"/>
      <c r="E983" s="1"/>
      <c r="F983" s="1"/>
    </row>
    <row r="984" spans="1:6" ht="59.25" customHeight="1" x14ac:dyDescent="0.25">
      <c r="A984" s="1"/>
      <c r="B984" s="191"/>
      <c r="C984" s="1"/>
      <c r="D984" s="1"/>
      <c r="E984" s="1"/>
      <c r="F984" s="1"/>
    </row>
    <row r="985" spans="1:6" x14ac:dyDescent="0.25">
      <c r="A985" s="1"/>
      <c r="B985" s="191"/>
      <c r="C985" s="1"/>
      <c r="D985" s="1"/>
      <c r="E985" s="1"/>
      <c r="F985" s="1"/>
    </row>
    <row r="986" spans="1:6" ht="59.25" customHeight="1" x14ac:dyDescent="0.25">
      <c r="A986" s="1"/>
      <c r="B986" s="191"/>
      <c r="C986" s="1"/>
      <c r="D986" s="1"/>
      <c r="E986" s="1"/>
      <c r="F986" s="1"/>
    </row>
    <row r="987" spans="1:6" x14ac:dyDescent="0.25">
      <c r="A987" s="1"/>
      <c r="B987" s="191"/>
      <c r="C987" s="1"/>
      <c r="D987" s="1"/>
      <c r="E987" s="1"/>
      <c r="F987" s="1"/>
    </row>
    <row r="988" spans="1:6" x14ac:dyDescent="0.25">
      <c r="A988" s="1"/>
      <c r="B988" s="191"/>
      <c r="C988" s="1"/>
      <c r="D988" s="1"/>
      <c r="E988" s="1"/>
    </row>
    <row r="989" spans="1:6" x14ac:dyDescent="0.25">
      <c r="A989" s="195"/>
    </row>
    <row r="990" spans="1:6" x14ac:dyDescent="0.25">
      <c r="A990" s="195"/>
    </row>
    <row r="991" spans="1:6" x14ac:dyDescent="0.25">
      <c r="A991" s="195"/>
    </row>
    <row r="992" spans="1:6" x14ac:dyDescent="0.25">
      <c r="A992" s="195"/>
    </row>
    <row r="993" spans="1:1" x14ac:dyDescent="0.25">
      <c r="A993" s="196"/>
    </row>
    <row r="994" spans="1:1" x14ac:dyDescent="0.25">
      <c r="A994" s="195"/>
    </row>
    <row r="995" spans="1:1" x14ac:dyDescent="0.25">
      <c r="A995" s="195"/>
    </row>
    <row r="996" spans="1:1" x14ac:dyDescent="0.25">
      <c r="A996" s="195"/>
    </row>
    <row r="997" spans="1:1" x14ac:dyDescent="0.25">
      <c r="A997" s="195"/>
    </row>
    <row r="998" spans="1:1" x14ac:dyDescent="0.25">
      <c r="A998" s="195"/>
    </row>
    <row r="999" spans="1:1" x14ac:dyDescent="0.25">
      <c r="A999" s="195"/>
    </row>
    <row r="1000" spans="1:1" x14ac:dyDescent="0.25">
      <c r="A1000" s="195"/>
    </row>
    <row r="1001" spans="1:1" x14ac:dyDescent="0.25">
      <c r="A1001" s="196"/>
    </row>
    <row r="1002" spans="1:1" x14ac:dyDescent="0.25">
      <c r="A1002" s="195"/>
    </row>
    <row r="1003" spans="1:1" x14ac:dyDescent="0.25">
      <c r="A1003" s="195"/>
    </row>
    <row r="1004" spans="1:1" x14ac:dyDescent="0.25">
      <c r="A1004" s="195"/>
    </row>
    <row r="1005" spans="1:1" x14ac:dyDescent="0.25">
      <c r="A1005" s="195"/>
    </row>
    <row r="1006" spans="1:1" x14ac:dyDescent="0.25">
      <c r="A1006" s="195"/>
    </row>
    <row r="1007" spans="1:1" x14ac:dyDescent="0.25">
      <c r="A1007" s="195"/>
    </row>
    <row r="1008" spans="1:1" x14ac:dyDescent="0.25">
      <c r="A1008" s="195"/>
    </row>
    <row r="1009" spans="1:1" x14ac:dyDescent="0.25">
      <c r="A1009" s="195"/>
    </row>
    <row r="1010" spans="1:1" x14ac:dyDescent="0.25">
      <c r="A1010" s="195"/>
    </row>
    <row r="1011" spans="1:1" x14ac:dyDescent="0.25">
      <c r="A1011" s="195"/>
    </row>
    <row r="1012" spans="1:1" x14ac:dyDescent="0.25">
      <c r="A1012" s="195"/>
    </row>
    <row r="1013" spans="1:1" x14ac:dyDescent="0.25">
      <c r="A1013" s="195"/>
    </row>
    <row r="1014" spans="1:1" x14ac:dyDescent="0.25">
      <c r="A1014" s="195"/>
    </row>
    <row r="1015" spans="1:1" x14ac:dyDescent="0.25">
      <c r="A1015" s="195"/>
    </row>
    <row r="1016" spans="1:1" x14ac:dyDescent="0.25">
      <c r="A1016" s="195"/>
    </row>
    <row r="1017" spans="1:1" x14ac:dyDescent="0.25">
      <c r="A1017" s="195"/>
    </row>
    <row r="1018" spans="1:1" x14ac:dyDescent="0.25">
      <c r="A1018" s="195"/>
    </row>
    <row r="1019" spans="1:1" x14ac:dyDescent="0.25">
      <c r="A1019" s="195"/>
    </row>
    <row r="1020" spans="1:1" x14ac:dyDescent="0.25">
      <c r="A1020" s="195"/>
    </row>
    <row r="1021" spans="1:1" x14ac:dyDescent="0.25">
      <c r="A1021" s="195"/>
    </row>
  </sheetData>
  <mergeCells count="111">
    <mergeCell ref="B93:B94"/>
    <mergeCell ref="C93:C94"/>
    <mergeCell ref="D93:D94"/>
    <mergeCell ref="E93:E94"/>
    <mergeCell ref="B100:B101"/>
    <mergeCell ref="C100:C101"/>
    <mergeCell ref="D100:D101"/>
    <mergeCell ref="E100:E101"/>
    <mergeCell ref="B71:B72"/>
    <mergeCell ref="C71:C72"/>
    <mergeCell ref="D71:D72"/>
    <mergeCell ref="E71:E72"/>
    <mergeCell ref="B87:B88"/>
    <mergeCell ref="C87:C88"/>
    <mergeCell ref="D87:D88"/>
    <mergeCell ref="E87:E88"/>
    <mergeCell ref="B180:B181"/>
    <mergeCell ref="C180:C181"/>
    <mergeCell ref="D180:D181"/>
    <mergeCell ref="F180:F181"/>
    <mergeCell ref="B271:B272"/>
    <mergeCell ref="C271:C272"/>
    <mergeCell ref="D271:D272"/>
    <mergeCell ref="E271:E272"/>
    <mergeCell ref="B124:B125"/>
    <mergeCell ref="C124:C125"/>
    <mergeCell ref="D124:D125"/>
    <mergeCell ref="E124:E125"/>
    <mergeCell ref="B171:B172"/>
    <mergeCell ref="C171:C172"/>
    <mergeCell ref="D171:D172"/>
    <mergeCell ref="E171:E172"/>
    <mergeCell ref="B282:B283"/>
    <mergeCell ref="C282:C283"/>
    <mergeCell ref="D282:D283"/>
    <mergeCell ref="E282:E283"/>
    <mergeCell ref="A287:A288"/>
    <mergeCell ref="B287:B288"/>
    <mergeCell ref="C287:C288"/>
    <mergeCell ref="D287:D288"/>
    <mergeCell ref="E287:E288"/>
    <mergeCell ref="B367:B368"/>
    <mergeCell ref="C367:C368"/>
    <mergeCell ref="D367:D368"/>
    <mergeCell ref="F367:F368"/>
    <mergeCell ref="C374:C375"/>
    <mergeCell ref="D374:D375"/>
    <mergeCell ref="E374:E375"/>
    <mergeCell ref="F374:F375"/>
    <mergeCell ref="C310:C311"/>
    <mergeCell ref="D310:D311"/>
    <mergeCell ref="E310:E311"/>
    <mergeCell ref="F310:F311"/>
    <mergeCell ref="B345:B346"/>
    <mergeCell ref="C345:C346"/>
    <mergeCell ref="D345:D346"/>
    <mergeCell ref="F345:F346"/>
    <mergeCell ref="C429:C430"/>
    <mergeCell ref="D429:D430"/>
    <mergeCell ref="E429:E430"/>
    <mergeCell ref="F429:F430"/>
    <mergeCell ref="B441:B442"/>
    <mergeCell ref="C441:C442"/>
    <mergeCell ref="D441:D442"/>
    <mergeCell ref="E441:E442"/>
    <mergeCell ref="C409:C410"/>
    <mergeCell ref="D409:D410"/>
    <mergeCell ref="E409:E410"/>
    <mergeCell ref="F409:F410"/>
    <mergeCell ref="C425:C426"/>
    <mergeCell ref="D425:D426"/>
    <mergeCell ref="E425:E426"/>
    <mergeCell ref="F425:F426"/>
    <mergeCell ref="B519:B520"/>
    <mergeCell ref="C519:C520"/>
    <mergeCell ref="D519:D520"/>
    <mergeCell ref="E519:E520"/>
    <mergeCell ref="C457:C458"/>
    <mergeCell ref="D457:D458"/>
    <mergeCell ref="E457:E458"/>
    <mergeCell ref="F457:F458"/>
    <mergeCell ref="C493:C494"/>
    <mergeCell ref="D493:D494"/>
    <mergeCell ref="E493:E494"/>
    <mergeCell ref="F493:F494"/>
    <mergeCell ref="B631:B632"/>
    <mergeCell ref="C631:C632"/>
    <mergeCell ref="D631:D632"/>
    <mergeCell ref="F631:F632"/>
    <mergeCell ref="C663:C664"/>
    <mergeCell ref="D663:D664"/>
    <mergeCell ref="E663:E664"/>
    <mergeCell ref="C529:C530"/>
    <mergeCell ref="D529:D530"/>
    <mergeCell ref="E529:E530"/>
    <mergeCell ref="F529:F530"/>
    <mergeCell ref="B612:B613"/>
    <mergeCell ref="C612:C613"/>
    <mergeCell ref="D612:D613"/>
    <mergeCell ref="E612:E613"/>
    <mergeCell ref="B700:B701"/>
    <mergeCell ref="C700:C701"/>
    <mergeCell ref="D700:D701"/>
    <mergeCell ref="C666:C667"/>
    <mergeCell ref="D666:D667"/>
    <mergeCell ref="E666:E667"/>
    <mergeCell ref="F666:F667"/>
    <mergeCell ref="B697:B698"/>
    <mergeCell ref="C697:C698"/>
    <mergeCell ref="D697:D698"/>
    <mergeCell ref="E697:E69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0"/>
  <sheetViews>
    <sheetView workbookViewId="0"/>
  </sheetViews>
  <sheetFormatPr defaultRowHeight="15" x14ac:dyDescent="0.25"/>
  <cols>
    <col min="1" max="1" width="20" customWidth="1"/>
    <col min="2" max="2" width="13.7109375" customWidth="1"/>
    <col min="3" max="3" width="16.42578125" customWidth="1"/>
    <col min="4" max="4" width="14.28515625" customWidth="1"/>
    <col min="5" max="5" width="15.85546875" customWidth="1"/>
    <col min="6" max="6" width="16.5703125" customWidth="1"/>
    <col min="7" max="7" width="17.5703125" customWidth="1"/>
    <col min="8" max="8" width="20.42578125" customWidth="1"/>
    <col min="9" max="9" width="17.85546875" customWidth="1"/>
    <col min="10" max="10" width="14.85546875" customWidth="1"/>
    <col min="11" max="12" width="19.140625" customWidth="1"/>
    <col min="13" max="13" width="16.28515625" customWidth="1"/>
    <col min="14" max="14" width="9.85546875" customWidth="1"/>
    <col min="15" max="15" width="15.28515625" customWidth="1"/>
    <col min="16" max="16" width="15.42578125" bestFit="1" customWidth="1"/>
    <col min="17" max="18" width="14.7109375" bestFit="1" customWidth="1"/>
    <col min="19" max="19" width="18.42578125" bestFit="1" customWidth="1"/>
  </cols>
  <sheetData>
    <row r="1" spans="1:13" ht="15.75" thickBot="1" x14ac:dyDescent="0.3">
      <c r="A1" s="18" t="s">
        <v>830</v>
      </c>
      <c r="B1" s="19"/>
      <c r="C1" s="20"/>
      <c r="D1" s="21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22" t="s">
        <v>16</v>
      </c>
      <c r="B2" s="23" t="s">
        <v>17</v>
      </c>
      <c r="C2" s="24" t="s">
        <v>831</v>
      </c>
      <c r="D2" s="25" t="s">
        <v>18</v>
      </c>
      <c r="E2" s="2"/>
      <c r="F2" s="2"/>
      <c r="G2" s="2"/>
      <c r="H2" s="2"/>
      <c r="I2" s="2"/>
      <c r="J2" s="2"/>
      <c r="K2" s="2"/>
      <c r="L2" s="2"/>
      <c r="M2" s="2"/>
    </row>
    <row r="3" spans="1:13" ht="15.75" thickBot="1" x14ac:dyDescent="0.3">
      <c r="A3" s="104">
        <f>COUNTIF(Tabela!C:C,"*imediata*")</f>
        <v>324</v>
      </c>
      <c r="B3" s="105">
        <f>COUNTIF(Tabela!C:C,"*mediata*")-A3-G7</f>
        <v>223</v>
      </c>
      <c r="C3" s="106">
        <f>COUNTIF(Tabela!C:C,"*(~*)mediata*") + COUNTIF(Tabela!C:C,"*#mediata*") + COUNTIF(Tabela!C:C,"*$mediata*") + COUNTIF(Tabela!C:C,"*&amp;mediata*") + COUNTIF(Tabela!C:C,"*/mediata*") + COUNTIF(Tabela!C:C,"*}mediata*")</f>
        <v>74</v>
      </c>
      <c r="D3" s="146">
        <f>COUNTIF(Tabela!C:C,"*mediata*")</f>
        <v>621</v>
      </c>
      <c r="E3" s="2"/>
      <c r="F3" s="2"/>
      <c r="G3" s="2"/>
      <c r="H3" s="2"/>
      <c r="I3" s="2"/>
      <c r="J3" s="2"/>
      <c r="K3" s="2"/>
      <c r="L3" s="2"/>
      <c r="M3" s="2"/>
    </row>
    <row r="4" spans="1:13" ht="15.75" thickBot="1" x14ac:dyDescent="0.3">
      <c r="A4" s="9"/>
      <c r="B4" s="9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thickBot="1" x14ac:dyDescent="0.3">
      <c r="A5" s="28" t="s">
        <v>832</v>
      </c>
      <c r="B5" s="29"/>
      <c r="C5" s="29"/>
      <c r="D5" s="29"/>
      <c r="E5" s="29"/>
      <c r="F5" s="29"/>
      <c r="G5" s="30"/>
      <c r="H5" s="2"/>
      <c r="I5" s="2"/>
      <c r="J5" s="2"/>
      <c r="K5" s="2"/>
      <c r="L5" s="2"/>
      <c r="M5" s="2"/>
    </row>
    <row r="6" spans="1:13" ht="30" x14ac:dyDescent="0.25">
      <c r="A6" s="107" t="s">
        <v>857</v>
      </c>
      <c r="B6" s="87" t="s">
        <v>858</v>
      </c>
      <c r="C6" s="87" t="s">
        <v>859</v>
      </c>
      <c r="D6" s="14" t="s">
        <v>860</v>
      </c>
      <c r="E6" s="14" t="s">
        <v>861</v>
      </c>
      <c r="F6" s="108" t="s">
        <v>862</v>
      </c>
      <c r="G6" s="15" t="s">
        <v>18</v>
      </c>
      <c r="H6" s="2"/>
      <c r="I6" s="2"/>
      <c r="J6" s="2"/>
      <c r="K6" s="2"/>
      <c r="L6" s="2"/>
      <c r="M6" s="2"/>
    </row>
    <row r="7" spans="1:13" ht="15.75" thickBot="1" x14ac:dyDescent="0.3">
      <c r="A7" s="26">
        <f>COUNTIF(Tabela!C:C,"*(~*)mediata*")</f>
        <v>47</v>
      </c>
      <c r="B7" s="27">
        <f>COUNTIF(Tabela!C:C,"*&amp;mediata*")</f>
        <v>1</v>
      </c>
      <c r="C7" s="27">
        <f>COUNTIF(Tabela!C:C,"*$mediata*")</f>
        <v>12</v>
      </c>
      <c r="D7" s="27">
        <f>COUNTIF(Tabela!C:C,"*#mediata*")</f>
        <v>12</v>
      </c>
      <c r="E7" s="27">
        <f>COUNTIF(Tabela!C:C,"*/mediata*")</f>
        <v>2</v>
      </c>
      <c r="F7" s="27">
        <f>COUNTIF(Tabela!C:C,"*}mediata*")</f>
        <v>0</v>
      </c>
      <c r="G7" s="109">
        <f>SUM(A7:F7)</f>
        <v>74</v>
      </c>
      <c r="H7" s="2"/>
      <c r="I7" s="2"/>
      <c r="J7" s="2"/>
      <c r="K7" s="2"/>
      <c r="L7" s="2"/>
      <c r="M7" s="2"/>
    </row>
    <row r="8" spans="1:13" ht="15.75" thickBot="1" x14ac:dyDescent="0.3">
      <c r="A8" s="9"/>
      <c r="B8" s="9"/>
      <c r="C8" s="9"/>
      <c r="D8" s="9"/>
      <c r="E8" s="9"/>
      <c r="F8" s="9"/>
      <c r="G8" s="9"/>
      <c r="H8" s="2"/>
      <c r="I8" s="2"/>
      <c r="J8" s="2"/>
      <c r="K8" s="2"/>
      <c r="L8" s="2"/>
      <c r="M8" s="2"/>
    </row>
    <row r="9" spans="1:13" ht="15.75" thickBot="1" x14ac:dyDescent="0.3">
      <c r="A9" s="33" t="s">
        <v>833</v>
      </c>
      <c r="B9" s="34"/>
      <c r="C9" s="34"/>
      <c r="D9" s="35"/>
      <c r="E9" s="9"/>
      <c r="F9" s="9"/>
      <c r="G9" s="9"/>
      <c r="H9" s="2"/>
      <c r="I9" s="2"/>
      <c r="J9" s="2"/>
      <c r="K9" s="2"/>
      <c r="L9" s="2"/>
      <c r="M9" s="2"/>
    </row>
    <row r="10" spans="1:13" x14ac:dyDescent="0.25">
      <c r="A10" s="22" t="s">
        <v>834</v>
      </c>
      <c r="B10" s="23" t="s">
        <v>835</v>
      </c>
      <c r="C10" s="24" t="s">
        <v>831</v>
      </c>
      <c r="D10" s="36" t="s">
        <v>18</v>
      </c>
      <c r="E10" s="9"/>
      <c r="F10" s="9"/>
      <c r="G10" s="9"/>
      <c r="H10" s="2"/>
      <c r="I10" s="2"/>
      <c r="J10" s="2"/>
      <c r="K10" s="2"/>
      <c r="L10" s="2"/>
      <c r="M10" s="2"/>
    </row>
    <row r="11" spans="1:13" ht="15.75" thickBot="1" x14ac:dyDescent="0.3">
      <c r="A11" s="26">
        <f>COUNTIF(Tabela!C:C,"*imediata+*")</f>
        <v>23</v>
      </c>
      <c r="B11" s="27">
        <f>COUNTIF(Tabela!C:C,"*mediata+*")-A11 - C11</f>
        <v>42</v>
      </c>
      <c r="C11" s="27">
        <f>COUNTIF(Tabela!C:C,"*(~*)mediata+*") + COUNTIF(Tabela!C:C,"*#mediata+*") + COUNTIF(Tabela!C:C,"*$mediata+*") + COUNTIF(Tabela!C:C,"*&amp;mediata+*") + COUNTIF(Tabela!C:C,"*/mediata+*") + COUNTIF(Tabela!C:C,"*}mediata+*")</f>
        <v>2</v>
      </c>
      <c r="D11" s="32">
        <f>SUM(A11:C11)</f>
        <v>67</v>
      </c>
      <c r="E11" s="9"/>
      <c r="F11" s="9"/>
      <c r="G11" s="9"/>
      <c r="H11" s="2"/>
      <c r="I11" s="2"/>
      <c r="J11" s="2"/>
      <c r="K11" s="2"/>
      <c r="L11" s="2"/>
      <c r="M11" s="2"/>
    </row>
    <row r="12" spans="1:13" ht="15.75" thickBot="1" x14ac:dyDescent="0.3">
      <c r="A12" s="9"/>
      <c r="B12" s="9"/>
      <c r="C12" s="9"/>
      <c r="D12" s="9"/>
      <c r="E12" s="9"/>
      <c r="F12" s="9"/>
      <c r="G12" s="9"/>
      <c r="H12" s="2"/>
      <c r="I12" s="2"/>
      <c r="J12" s="2"/>
      <c r="K12" s="2"/>
      <c r="L12" s="2"/>
      <c r="M12" s="2"/>
    </row>
    <row r="13" spans="1:13" ht="15.75" thickBot="1" x14ac:dyDescent="0.3">
      <c r="A13" s="33" t="s">
        <v>836</v>
      </c>
      <c r="B13" s="34"/>
      <c r="C13" s="34"/>
      <c r="D13" s="34"/>
      <c r="E13" s="34"/>
      <c r="F13" s="34"/>
      <c r="G13" s="35"/>
      <c r="H13" s="9"/>
      <c r="I13" s="9"/>
      <c r="J13" s="2"/>
      <c r="K13" s="2"/>
      <c r="L13" s="2"/>
      <c r="M13" s="2"/>
    </row>
    <row r="14" spans="1:13" x14ac:dyDescent="0.25">
      <c r="A14" s="39"/>
      <c r="B14" s="40" t="s">
        <v>863</v>
      </c>
      <c r="C14" s="40" t="s">
        <v>839</v>
      </c>
      <c r="D14" s="40" t="s">
        <v>864</v>
      </c>
      <c r="E14" s="40" t="s">
        <v>841</v>
      </c>
      <c r="F14" s="40" t="s">
        <v>842</v>
      </c>
      <c r="G14" s="36" t="s">
        <v>843</v>
      </c>
      <c r="H14" s="9"/>
      <c r="I14" s="9"/>
      <c r="J14" s="9"/>
      <c r="K14" s="9"/>
      <c r="L14" s="9"/>
      <c r="M14" s="2"/>
    </row>
    <row r="15" spans="1:13" x14ac:dyDescent="0.25">
      <c r="A15" s="41" t="s">
        <v>834</v>
      </c>
      <c r="B15" s="42">
        <f>COUNTIF(Tabela!D:D,"*i_ad*")</f>
        <v>0</v>
      </c>
      <c r="C15" s="42">
        <f>COUNTIF(Tabela!D:D,"*i_sup*")</f>
        <v>7</v>
      </c>
      <c r="D15" s="42">
        <f>COUNTIF(Tabela!D:D,"*i_sub*")</f>
        <v>317</v>
      </c>
      <c r="E15" s="42">
        <f>COUNTIF(Tabela!D:D,"*i_reord*")</f>
        <v>0</v>
      </c>
      <c r="F15" s="42">
        <f>SUM(B15:E15)</f>
        <v>324</v>
      </c>
      <c r="G15" s="10">
        <f>COUNTIF(Tabela!D:D,"*i_*")</f>
        <v>324</v>
      </c>
      <c r="H15" s="9"/>
      <c r="I15" s="9"/>
      <c r="J15" s="9"/>
      <c r="K15" s="9"/>
      <c r="L15" s="9"/>
      <c r="M15" s="2"/>
    </row>
    <row r="16" spans="1:13" x14ac:dyDescent="0.25">
      <c r="A16" s="41" t="s">
        <v>835</v>
      </c>
      <c r="B16" s="42">
        <f>COUNTIF(Tabela!D:D,"*m_ad*")-B22-B17</f>
        <v>90</v>
      </c>
      <c r="C16" s="42">
        <f>COUNTIF(Tabela!D:D,"*m_sup*")-C22-C17</f>
        <v>7</v>
      </c>
      <c r="D16" s="42">
        <f>COUNTIF(Tabela!D:D,"*m_sub*")-D22-D17</f>
        <v>126</v>
      </c>
      <c r="E16" s="42">
        <f>COUNTIF(Tabela!D:D,"*m_reord*")-E22-E17</f>
        <v>0</v>
      </c>
      <c r="F16" s="42">
        <f t="shared" ref="F16:F17" si="0">SUM(B16:E16)</f>
        <v>223</v>
      </c>
      <c r="G16" s="10">
        <f>COUNTIF(Tabela!D:D,"*m_*")-G17-G22</f>
        <v>223</v>
      </c>
      <c r="H16" s="9"/>
      <c r="I16" s="9"/>
      <c r="J16" s="9"/>
      <c r="K16" s="9"/>
      <c r="L16" s="9"/>
      <c r="M16" s="2"/>
    </row>
    <row r="17" spans="1:19" x14ac:dyDescent="0.25">
      <c r="A17" s="41" t="s">
        <v>831</v>
      </c>
      <c r="B17" s="42">
        <f>COUNTIF(Tabela!D:D,"*(~*)m_ad*") + COUNTIF(Tabela!D:D,"*#m_ad*") + COUNTIF(Tabela!D:D,"*$m_ad*") + COUNTIF(Tabela!D:D,"*&amp;m_ad*") + COUNTIF(Tabela!D:D,"*/m_ad*") + COUNTIF(Tabela!D:D,"*}m_ad*")</f>
        <v>0</v>
      </c>
      <c r="C17" s="42">
        <f>COUNTIF(Tabela!D:D,"*(~*)m_sup*") + COUNTIF(Tabela!D:D,"*#m_sup*") + COUNTIF(Tabela!D:D,"*$m_sup*") + COUNTIF(Tabela!D:D,"*&amp;m_sup*") + COUNTIF(Tabela!D:D,"*/m_sup*") + COUNTIF(Tabela!D:D,"*}m_sup*")</f>
        <v>12</v>
      </c>
      <c r="D17" s="42">
        <f>COUNTIF(Tabela!D:D,"*(~*)m_sub*") + COUNTIF(Tabela!D:D,"*#m_sub*") + COUNTIF(Tabela!D:D,"*$m_sub*") + COUNTIF(Tabela!D:D,"*&amp;m_sub*") + COUNTIF(Tabela!D:D,"*/m_sub*") + COUNTIF(Tabela!D:D,"*}m_sub*")</f>
        <v>60</v>
      </c>
      <c r="E17" s="42">
        <f>COUNTIF(Tabela!D:D,"*(~*)m_reord*") + COUNTIF(Tabela!D:D,"*#m_reord*") + COUNTIF(Tabela!D:D,"*$m_reord*") + COUNTIF(Tabela!D:D,"*&amp;m_reord*") + COUNTIF(Tabela!D:D,"*/m_reord*") + COUNTIF(Tabela!D:D,"*}m_reord*")</f>
        <v>2</v>
      </c>
      <c r="F17" s="42">
        <f t="shared" si="0"/>
        <v>74</v>
      </c>
      <c r="G17" s="10">
        <f>COUNTIF(Tabela!D:D,"*(~*)m_*") + COUNTIF(Tabela!D:D,"*#m_*") + COUNTIF(Tabela!D:D,"*$m_*") + COUNTIF(Tabela!D:D,"*&amp;m_*") + COUNTIF(Tabela!D:D,"*/m_*") + COUNTIF(Tabela!D:D,"*}m_*")</f>
        <v>74</v>
      </c>
      <c r="H17" s="9"/>
      <c r="I17" s="9"/>
      <c r="J17" s="9"/>
      <c r="K17" s="9"/>
      <c r="L17" s="9"/>
      <c r="M17" s="2"/>
    </row>
    <row r="18" spans="1:19" ht="15.75" thickBot="1" x14ac:dyDescent="0.3">
      <c r="A18" s="26" t="s">
        <v>18</v>
      </c>
      <c r="B18" s="27">
        <f>SUM(B15:B17)</f>
        <v>90</v>
      </c>
      <c r="C18" s="27">
        <f t="shared" ref="C18:F18" si="1">SUM(C15:C17)</f>
        <v>26</v>
      </c>
      <c r="D18" s="27">
        <f t="shared" si="1"/>
        <v>503</v>
      </c>
      <c r="E18" s="27">
        <f t="shared" si="1"/>
        <v>2</v>
      </c>
      <c r="F18" s="27">
        <f t="shared" si="1"/>
        <v>621</v>
      </c>
      <c r="G18" s="32">
        <f>SUM(G15:G17)</f>
        <v>621</v>
      </c>
      <c r="H18" s="9"/>
      <c r="I18" s="9"/>
      <c r="J18" s="9"/>
      <c r="K18" s="9"/>
      <c r="L18" s="9"/>
      <c r="M18" s="2"/>
    </row>
    <row r="19" spans="1:19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2"/>
    </row>
    <row r="20" spans="1:19" ht="15.75" thickBot="1" x14ac:dyDescent="0.3">
      <c r="A20" s="33" t="s">
        <v>837</v>
      </c>
      <c r="B20" s="43"/>
      <c r="C20" s="43"/>
      <c r="D20" s="43"/>
      <c r="E20" s="34"/>
      <c r="F20" s="34"/>
      <c r="G20" s="35"/>
      <c r="H20" s="9"/>
      <c r="I20" s="9"/>
      <c r="J20" s="9"/>
      <c r="K20" s="9"/>
      <c r="L20" s="9"/>
      <c r="M20" s="9"/>
      <c r="N20" s="16"/>
      <c r="O20" s="16"/>
      <c r="P20" s="16"/>
      <c r="Q20" s="16"/>
      <c r="R20" s="16"/>
      <c r="S20" s="16"/>
    </row>
    <row r="21" spans="1:19" ht="20.25" customHeight="1" x14ac:dyDescent="0.25">
      <c r="A21" s="44"/>
      <c r="B21" s="45" t="s">
        <v>838</v>
      </c>
      <c r="C21" s="45" t="s">
        <v>839</v>
      </c>
      <c r="D21" s="45" t="s">
        <v>840</v>
      </c>
      <c r="E21" s="23" t="s">
        <v>841</v>
      </c>
      <c r="F21" s="46" t="s">
        <v>842</v>
      </c>
      <c r="G21" s="47" t="s">
        <v>843</v>
      </c>
      <c r="H21" s="9"/>
      <c r="I21" s="9"/>
      <c r="J21" s="9"/>
      <c r="K21" s="9"/>
      <c r="L21" s="9"/>
      <c r="M21" s="9"/>
      <c r="N21" s="16"/>
      <c r="O21" s="16"/>
      <c r="P21" s="16"/>
      <c r="Q21" s="16"/>
      <c r="R21" s="16"/>
      <c r="S21" s="16"/>
    </row>
    <row r="22" spans="1:19" ht="15.75" thickBot="1" x14ac:dyDescent="0.3">
      <c r="A22" s="7" t="s">
        <v>835</v>
      </c>
      <c r="B22" s="27">
        <f>COUNTIF(Tabela!D:D,"*(g)m_ad*")</f>
        <v>13</v>
      </c>
      <c r="C22" s="27">
        <f>COUNTIF(Tabela!D:D,"*(g)m_sup*")</f>
        <v>10</v>
      </c>
      <c r="D22" s="27">
        <f>COUNTIF(Tabela!D:D,"*(g)m_sub*")</f>
        <v>52</v>
      </c>
      <c r="E22" s="27">
        <f>COUNTIF(Tabela!D:D,"*(g)m_reord*")</f>
        <v>0</v>
      </c>
      <c r="F22" s="12">
        <f>SUM(B22:E22)</f>
        <v>75</v>
      </c>
      <c r="G22" s="111">
        <f>COUNTIF(Tabela!D:D,"*(g)m_*")</f>
        <v>75</v>
      </c>
      <c r="H22" s="9"/>
      <c r="I22" s="9"/>
      <c r="J22" s="9"/>
      <c r="K22" s="9"/>
      <c r="L22" s="9"/>
      <c r="M22" s="9"/>
      <c r="N22" s="16"/>
      <c r="O22" s="16"/>
      <c r="P22" s="16"/>
      <c r="Q22" s="16"/>
      <c r="R22" s="16"/>
      <c r="S22" s="16"/>
    </row>
    <row r="23" spans="1:19" ht="15.75" thickBot="1" x14ac:dyDescent="0.3">
      <c r="A23" s="4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16"/>
      <c r="O23" s="16"/>
      <c r="P23" s="16"/>
      <c r="Q23" s="16"/>
      <c r="R23" s="16"/>
      <c r="S23" s="16"/>
    </row>
    <row r="24" spans="1:19" ht="15.75" thickBot="1" x14ac:dyDescent="0.3">
      <c r="A24" s="137" t="s">
        <v>953</v>
      </c>
      <c r="B24" s="138"/>
      <c r="C24" s="138"/>
      <c r="D24" s="138"/>
      <c r="E24" s="138"/>
      <c r="F24" s="139"/>
      <c r="G24" s="2"/>
      <c r="H24" s="56" t="s">
        <v>968</v>
      </c>
      <c r="I24" s="57"/>
      <c r="J24" s="57"/>
      <c r="K24" s="58"/>
    </row>
    <row r="25" spans="1:19" x14ac:dyDescent="0.25">
      <c r="A25" s="44"/>
      <c r="B25" s="24" t="s">
        <v>865</v>
      </c>
      <c r="C25" s="24" t="s">
        <v>866</v>
      </c>
      <c r="D25" s="24" t="s">
        <v>867</v>
      </c>
      <c r="E25" s="24" t="s">
        <v>954</v>
      </c>
      <c r="F25" s="36" t="s">
        <v>18</v>
      </c>
      <c r="H25" s="44"/>
      <c r="I25" s="24" t="s">
        <v>839</v>
      </c>
      <c r="J25" s="24" t="s">
        <v>864</v>
      </c>
      <c r="K25" s="141" t="s">
        <v>18</v>
      </c>
    </row>
    <row r="26" spans="1:19" x14ac:dyDescent="0.25">
      <c r="A26" s="6" t="s">
        <v>834</v>
      </c>
      <c r="B26" s="5">
        <f>COUNTIF(Tabela!F:F,"*I_enrolado*")</f>
        <v>133</v>
      </c>
      <c r="C26" s="5">
        <f>COUNTIF(Tabela!F:F,"*I_dir*")</f>
        <v>129</v>
      </c>
      <c r="D26" s="5">
        <f>COUNTIF(Tabela!F:F,"*I_obl*")</f>
        <v>28</v>
      </c>
      <c r="E26" s="5">
        <f>COUNTIF(Tabela!F:F,"*I_riscado*")</f>
        <v>0</v>
      </c>
      <c r="F26" s="11">
        <f>SUM(B26:E26)</f>
        <v>290</v>
      </c>
      <c r="H26" s="6" t="s">
        <v>865</v>
      </c>
      <c r="I26" s="5">
        <f>COUNTIF(Tabela!F:F,"*enrolado_sup*")</f>
        <v>6</v>
      </c>
      <c r="J26" s="5">
        <f>COUNTIF(Tabela!F:F,"*enrolado*") - I26</f>
        <v>176</v>
      </c>
      <c r="K26" s="110">
        <f>SUM(I26:J26)</f>
        <v>182</v>
      </c>
    </row>
    <row r="27" spans="1:19" x14ac:dyDescent="0.25">
      <c r="A27" s="6" t="s">
        <v>835</v>
      </c>
      <c r="B27" s="5">
        <f>COUNTIF(Tabela!F:F,"*M_enrolado*") - B28</f>
        <v>35</v>
      </c>
      <c r="C27" s="5">
        <f>COUNTIF(Tabela!F:F,"*M_dir*") - C28</f>
        <v>91</v>
      </c>
      <c r="D27" s="5">
        <f>COUNTIF(Tabela!F:F,"*M_obl*") - D28</f>
        <v>21</v>
      </c>
      <c r="E27" s="5">
        <f>COUNTIF(Tabela!F:F,"*M_riscado*") - E28</f>
        <v>3</v>
      </c>
      <c r="F27" s="11">
        <f t="shared" ref="F27:F29" si="2">SUM(B27:E27)</f>
        <v>150</v>
      </c>
      <c r="H27" s="6" t="s">
        <v>866</v>
      </c>
      <c r="I27" s="5">
        <f>COUNTIF(Tabela!F:F,"*direito_sup*")</f>
        <v>4</v>
      </c>
      <c r="J27" s="5">
        <f>COUNTIF(Tabela!F:F,"*direito*") - I27</f>
        <v>251</v>
      </c>
      <c r="K27" s="110">
        <f t="shared" ref="K27:K29" si="3">SUM(I27:J27)</f>
        <v>255</v>
      </c>
    </row>
    <row r="28" spans="1:19" x14ac:dyDescent="0.25">
      <c r="A28" s="6" t="s">
        <v>831</v>
      </c>
      <c r="B28" s="5">
        <f>COUNTIF(Tabela!F:F,"*(~*)M_enr*") + COUNTIF(Tabela!F:F,"*#M_enr*") + COUNTIF(Tabela!F:F,"*$M_enr*") + COUNTIF(Tabela!F:F,"*&amp;M_enr*") + COUNTIF(Tabela!F:F,"*/M_enr*") + COUNTIF(Tabela!F:F,"*}M_enr*")</f>
        <v>14</v>
      </c>
      <c r="C28" s="5">
        <f>COUNTIF(Tabela!F:F,"*(~*)M_dir*") + COUNTIF(Tabela!F:F,"*#M_dir*") + COUNTIF(Tabela!F:F,"*$M_dir*") + COUNTIF(Tabela!F:F,"*&amp;M_dir*") + COUNTIF(Tabela!F:F,"*/M_dir*") + COUNTIF(Tabela!F:F,"*}M_dir*")</f>
        <v>35</v>
      </c>
      <c r="D28" s="5">
        <f>COUNTIF(Tabela!F:F,"*(~*)M_obl*") + COUNTIF(Tabela!F:F,"*#M_obl*") + COUNTIF(Tabela!F:F,"*$M_obl*") + COUNTIF(Tabela!F:F,"*&amp;M_obl*") + COUNTIF(Tabela!F:F,"*/M_obl*") + COUNTIF(Tabela!F:F,"*}M_obl*")</f>
        <v>13</v>
      </c>
      <c r="E28" s="5">
        <f>COUNTIF(Tabela!F:F,"*(~*)M_ris*") + COUNTIF(Tabela!F:F,"*#M_ris*") + COUNTIF(Tabela!F:F,"*$M_ris*") + COUNTIF(Tabela!F:F,"*&amp;M_ris*") + COUNTIF(Tabela!F:F,"*/M_ris*") + COUNTIF(Tabela!F:F,"*}M_ris*")</f>
        <v>0</v>
      </c>
      <c r="F28" s="11">
        <f t="shared" si="2"/>
        <v>62</v>
      </c>
      <c r="H28" s="6" t="s">
        <v>867</v>
      </c>
      <c r="I28" s="5">
        <f>COUNTIF(Tabela!F:F,"*quo_sup*")</f>
        <v>18</v>
      </c>
      <c r="J28" s="5">
        <f>COUNTIF(Tabela!F:F,"*quo*") - I28</f>
        <v>44</v>
      </c>
      <c r="K28" s="110">
        <f t="shared" si="3"/>
        <v>62</v>
      </c>
    </row>
    <row r="29" spans="1:19" ht="15.75" thickBot="1" x14ac:dyDescent="0.3">
      <c r="A29" s="142" t="s">
        <v>18</v>
      </c>
      <c r="B29" s="105">
        <f>SUM(B26:B28)</f>
        <v>182</v>
      </c>
      <c r="C29" s="105">
        <f>SUM(C26:C28)</f>
        <v>255</v>
      </c>
      <c r="D29" s="105">
        <f t="shared" ref="D29:E29" si="4">SUM(D26:D28)</f>
        <v>62</v>
      </c>
      <c r="E29" s="105">
        <f t="shared" si="4"/>
        <v>3</v>
      </c>
      <c r="F29" s="13">
        <f t="shared" si="2"/>
        <v>502</v>
      </c>
      <c r="H29" s="7" t="s">
        <v>954</v>
      </c>
      <c r="I29" s="12">
        <f>COUNTIF(Tabela!F:F,"*riscado_sup*")</f>
        <v>0</v>
      </c>
      <c r="J29" s="12">
        <f>COUNTIF(Tabela!F:F,"*riscado*") - I29</f>
        <v>3</v>
      </c>
      <c r="K29" s="143">
        <f t="shared" si="3"/>
        <v>3</v>
      </c>
    </row>
    <row r="30" spans="1:19" ht="15.75" thickBot="1" x14ac:dyDescent="0.3">
      <c r="A30" s="48"/>
      <c r="B30" s="2"/>
      <c r="C30" s="2"/>
      <c r="D30" s="2"/>
      <c r="E30" s="2"/>
      <c r="F30" s="2"/>
      <c r="G30" s="2"/>
      <c r="H30" s="2"/>
      <c r="I30" s="2"/>
      <c r="J30" s="2"/>
    </row>
    <row r="31" spans="1:19" ht="15.75" thickBot="1" x14ac:dyDescent="0.3">
      <c r="A31" s="129" t="s">
        <v>844</v>
      </c>
      <c r="B31" s="130"/>
      <c r="C31" s="130"/>
      <c r="D31" s="130"/>
      <c r="E31" s="19"/>
      <c r="F31" s="20"/>
      <c r="G31" s="21"/>
      <c r="H31" s="2"/>
      <c r="I31" s="2"/>
      <c r="J31" s="2"/>
    </row>
    <row r="32" spans="1:19" x14ac:dyDescent="0.25">
      <c r="A32" s="44"/>
      <c r="B32" s="45" t="s">
        <v>870</v>
      </c>
      <c r="C32" s="45" t="s">
        <v>871</v>
      </c>
      <c r="D32" s="45" t="s">
        <v>872</v>
      </c>
      <c r="E32" s="40" t="s">
        <v>868</v>
      </c>
      <c r="F32" s="40" t="s">
        <v>869</v>
      </c>
      <c r="G32" s="131" t="s">
        <v>18</v>
      </c>
    </row>
    <row r="33" spans="1:13" x14ac:dyDescent="0.25">
      <c r="A33" s="4" t="s">
        <v>834</v>
      </c>
      <c r="B33" s="112">
        <f>COUNTIF(Tabela!E:E,"*I_entrelinha*")</f>
        <v>218</v>
      </c>
      <c r="C33" s="5">
        <f>COUNTIF(Tabela!E:E,"*I_linha*")</f>
        <v>55</v>
      </c>
      <c r="D33" s="5">
        <f>COUNTIF(Tabela!E:E,"*I_sob*")</f>
        <v>47</v>
      </c>
      <c r="E33" s="5">
        <f>COUNTIF(Tabela!E:E,"*I_verso*")</f>
        <v>0</v>
      </c>
      <c r="F33" s="5">
        <f>COUNTIF(Tabela!E:E,"*I_margem*")</f>
        <v>0</v>
      </c>
      <c r="G33" s="132">
        <f>SUM(B33:F33)</f>
        <v>320</v>
      </c>
    </row>
    <row r="34" spans="1:13" x14ac:dyDescent="0.25">
      <c r="A34" s="6" t="s">
        <v>835</v>
      </c>
      <c r="B34" s="112">
        <f>COUNTIF(Tabela!E:E,"*M_entrelinha*") - B35</f>
        <v>208</v>
      </c>
      <c r="C34" s="5">
        <f>COUNTIF(Tabela!E:E,"*M_linha*") - C35</f>
        <v>27</v>
      </c>
      <c r="D34" s="5">
        <f>COUNTIF(Tabela!E:E,"*M_sob*") - D35</f>
        <v>47</v>
      </c>
      <c r="E34" s="5">
        <f>COUNTIF(Tabela!E:E,"*M_verso*")</f>
        <v>0</v>
      </c>
      <c r="F34" s="5">
        <f>COUNTIF(Tabela!E:E,"*M_margem*")</f>
        <v>1</v>
      </c>
      <c r="G34" s="132">
        <f t="shared" ref="G34:G36" si="5">SUM(B34:F34)</f>
        <v>283</v>
      </c>
    </row>
    <row r="35" spans="1:13" x14ac:dyDescent="0.25">
      <c r="A35" s="41" t="s">
        <v>831</v>
      </c>
      <c r="B35" s="112">
        <f>COUNTIF(Tabela!E:E,"*(~*)M_entrelinha*") + COUNTIF(Tabela!E:E,"*#M_entrelinha*") + COUNTIF(Tabela!E:E,"*$M_entrelinha*") + COUNTIF(Tabela!E:E,"*&amp;M_entrelinha*") + COUNTIF(Tabela!E:E,"*/M_entrelinha*") + COUNTIF(Tabela!E:E,"*}M_entrelinha*")</f>
        <v>47</v>
      </c>
      <c r="C35" s="5">
        <f>COUNTIF(Tabela!E:E,"*(~*)M_linha*") + COUNTIF(Tabela!E:E,"*#M_linha*") + COUNTIF(Tabela!E:E,"*$M_linha*") + COUNTIF(Tabela!E:E,"*&amp;M_linha*") + COUNTIF(Tabela!E:E,"*/M_linha*") + COUNTIF(Tabela!E:E,"*}M_linha*")</f>
        <v>1</v>
      </c>
      <c r="D35" s="5">
        <f>COUNTIF(Tabela!E:E,"*(~*)M_sob*") + COUNTIF(Tabela!E:E,"*#M_sob*") + COUNTIF(Tabela!E:E,"*$M_sob*") + COUNTIF(Tabela!E:E,"*&amp;M_sob*") + COUNTIF(Tabela!E:E,"*/M_sob*") + COUNTIF(Tabela!E:E,"*}M_sob*")</f>
        <v>12</v>
      </c>
      <c r="E35" s="5">
        <f>COUNTIF(Tabela!E:E,"*(~*)M_ver*") + COUNTIF(Tabela!E:E,"*#M_ver*") + COUNTIF(Tabela!E:E,"*$M_ver*") + COUNTIF(Tabela!E:E,"*&amp;M_ver*") + COUNTIF(Tabela!E:E,"*/M_ver*") + COUNTIF(Tabela!E:E,"*}M_ver*")</f>
        <v>0</v>
      </c>
      <c r="F35" s="5">
        <f>COUNTIF(Tabela!E:E,"*(~*)M_mar*") + COUNTIF(Tabela!E:E,"*#M_mar*") + COUNTIF(Tabela!E:E,"*$M_mar*") + COUNTIF(Tabela!E:E,"*&amp;M_mar*") + COUNTIF(Tabela!E:E,"*/M_mar*") + COUNTIF(Tabela!E:E,"*}M_mar*")</f>
        <v>0</v>
      </c>
      <c r="G35" s="132">
        <f t="shared" si="5"/>
        <v>60</v>
      </c>
    </row>
    <row r="36" spans="1:13" x14ac:dyDescent="0.25">
      <c r="A36" s="42" t="s">
        <v>18</v>
      </c>
      <c r="B36" s="112">
        <f>SUM(B33:B35)</f>
        <v>473</v>
      </c>
      <c r="C36" s="113">
        <f>SUM(C33:C35)</f>
        <v>83</v>
      </c>
      <c r="D36" s="5">
        <f>SUM(D33:D35)</f>
        <v>106</v>
      </c>
      <c r="E36" s="5">
        <f>SUM(E33:E35)</f>
        <v>0</v>
      </c>
      <c r="F36" s="5">
        <f>SUM(F33:F35)</f>
        <v>1</v>
      </c>
      <c r="G36" s="161">
        <f t="shared" si="5"/>
        <v>663</v>
      </c>
    </row>
    <row r="37" spans="1:13" x14ac:dyDescent="0.25">
      <c r="A37" s="164"/>
      <c r="B37" s="9"/>
      <c r="C37" s="9"/>
      <c r="D37" s="9"/>
      <c r="E37" s="9"/>
      <c r="F37" s="9"/>
      <c r="G37" s="9"/>
    </row>
    <row r="38" spans="1:13" ht="15.75" thickBot="1" x14ac:dyDescent="0.3">
      <c r="A38" s="3"/>
      <c r="B38" s="2"/>
      <c r="C38" s="2"/>
      <c r="D38" s="2"/>
      <c r="E38" s="2"/>
    </row>
    <row r="39" spans="1:13" ht="15.75" thickBot="1" x14ac:dyDescent="0.3">
      <c r="A39" s="49" t="s">
        <v>969</v>
      </c>
      <c r="B39" s="50"/>
      <c r="C39" s="50"/>
      <c r="D39" s="20"/>
      <c r="E39" s="20"/>
      <c r="F39" s="21"/>
    </row>
    <row r="40" spans="1:13" ht="30" x14ac:dyDescent="0.25">
      <c r="A40" s="51"/>
      <c r="B40" s="52" t="s">
        <v>873</v>
      </c>
      <c r="C40" s="53" t="s">
        <v>874</v>
      </c>
      <c r="D40" s="53" t="s">
        <v>875</v>
      </c>
      <c r="E40" s="24" t="s">
        <v>18</v>
      </c>
      <c r="F40" s="54" t="s">
        <v>876</v>
      </c>
    </row>
    <row r="41" spans="1:13" x14ac:dyDescent="0.25">
      <c r="A41" s="4" t="s">
        <v>834</v>
      </c>
      <c r="B41" s="42">
        <f>COUNTIF(Tabela!E:E,"*I_entrelinha*") - C41 - D41</f>
        <v>216</v>
      </c>
      <c r="C41" s="42">
        <f>COUNTIF(Tabela!E:E,"*I_entrelinha com chamada*")</f>
        <v>2</v>
      </c>
      <c r="D41" s="42">
        <f>COUNTIF(Tabela!E:E,"*I_entrelinha com traço*")</f>
        <v>0</v>
      </c>
      <c r="E41" s="112">
        <f>SUM(B41:D41)</f>
        <v>218</v>
      </c>
      <c r="F41" s="11">
        <f>COUNTIF(Tabela!E:E,"*I_entrelinha inclinad*")</f>
        <v>63</v>
      </c>
    </row>
    <row r="42" spans="1:13" x14ac:dyDescent="0.25">
      <c r="A42" s="4" t="s">
        <v>835</v>
      </c>
      <c r="B42" s="42">
        <f>COUNTIF(Tabela!E:E,"*M_entrelinha*") - B35 - C42 - D42</f>
        <v>124</v>
      </c>
      <c r="C42" s="42">
        <f>COUNTIF(Tabela!E:E,"*M_entrelinha com chamada*") - C43</f>
        <v>82</v>
      </c>
      <c r="D42" s="42">
        <f>COUNTIF(Tabela!E:E,"*M_entrelinha com traço*") - D43</f>
        <v>2</v>
      </c>
      <c r="E42" s="112">
        <f>SUM(B42:D42)</f>
        <v>208</v>
      </c>
      <c r="F42" s="11">
        <v>0</v>
      </c>
    </row>
    <row r="43" spans="1:13" x14ac:dyDescent="0.25">
      <c r="A43" s="4" t="s">
        <v>831</v>
      </c>
      <c r="B43" s="42">
        <f>COUNTIF(Tabela!E:E,"*(~*)M_entrelinha*") + COUNTIF(Tabela!E:E,"*#M_entrelinha*") + COUNTIF(Tabela!E:E,"*$M_entrelinha*") + COUNTIF(Tabela!E:E,"*&amp;M_entrelinha*") + COUNTIF(Tabela!E:E,"*/M_entrelinha*") + COUNTIF(Tabela!E:E,"*}M_entrelinha*") - C43 - D43</f>
        <v>46</v>
      </c>
      <c r="C43" s="42">
        <f>COUNTIF(Tabela!E:E,"*(~*)M_entrelinha com chamada*") + COUNTIF(Tabela!E:E,"*#M_entrelinha com chamada*") + COUNTIF(Tabela!E:E,"*$M_entrelinha com chamada*") + COUNTIF(Tabela!E:E,"*&amp;M_entrelinha com chamada*") + COUNTIF(Tabela!E:E,"*/M_entrelinha com chamada*") + COUNTIF(Tabela!E:E,"*}M_entrelinha com chamada*")</f>
        <v>1</v>
      </c>
      <c r="D43" s="42">
        <f>COUNTIF(Tabela!E:E,"*(~*)M_entrelinha com traço*") + COUNTIF(Tabela!E:E,"*#M_entrelinha com traço*") + COUNTIF(Tabela!E:E,"*$M_entrelinha com traço*") + COUNTIF(Tabela!E:E,"*&amp;M_entrelinha com traço*") + COUNTIF(Tabela!E:E,"*/M_entrelinha com traço*") + COUNTIF(Tabela!E:E,"*}M_entrelinha com traço*")</f>
        <v>0</v>
      </c>
      <c r="E43" s="112">
        <f>SUM(B43:D43)</f>
        <v>47</v>
      </c>
      <c r="F43" s="11">
        <v>0</v>
      </c>
    </row>
    <row r="44" spans="1:13" x14ac:dyDescent="0.25">
      <c r="A44" s="4" t="s">
        <v>842</v>
      </c>
      <c r="B44" s="112">
        <f>SUM(B41:B43)</f>
        <v>386</v>
      </c>
      <c r="C44" s="112">
        <f>SUM(C41:C43)</f>
        <v>85</v>
      </c>
      <c r="D44" s="112">
        <f>SUM(D41:D43)</f>
        <v>2</v>
      </c>
      <c r="E44" s="112">
        <f>SUM(B44:D44)</f>
        <v>473</v>
      </c>
      <c r="F44" s="11">
        <v>0</v>
      </c>
    </row>
    <row r="45" spans="1:13" ht="15.75" thickBot="1" x14ac:dyDescent="0.3">
      <c r="A45" s="55" t="s">
        <v>843</v>
      </c>
      <c r="B45" s="12">
        <f>COUNTIF(Tabela!E:E,"*entrelinha*") - C45 - D45</f>
        <v>386</v>
      </c>
      <c r="C45" s="12">
        <f>COUNTIF(Tabela!E:E,"*entrelinha com chamada*")</f>
        <v>85</v>
      </c>
      <c r="D45" s="12">
        <f>COUNTIF(Tabela!E:E,"*entrelinha com traço*")</f>
        <v>2</v>
      </c>
      <c r="E45" s="114">
        <f>SUM(E41:E43)</f>
        <v>473</v>
      </c>
      <c r="F45" s="13">
        <f>SUM(F41:F44)</f>
        <v>63</v>
      </c>
    </row>
    <row r="46" spans="1:13" ht="15.75" thickBot="1" x14ac:dyDescent="0.3">
      <c r="A46" s="2"/>
      <c r="B46" s="2"/>
      <c r="C46" s="2"/>
      <c r="D46" s="2"/>
      <c r="E46" s="2"/>
      <c r="I46" s="3"/>
      <c r="J46" s="3"/>
      <c r="K46" s="3"/>
      <c r="L46" s="8"/>
      <c r="M46" s="2"/>
    </row>
    <row r="47" spans="1:13" ht="15.75" thickBot="1" x14ac:dyDescent="0.3">
      <c r="A47" s="18" t="s">
        <v>970</v>
      </c>
      <c r="B47" s="19"/>
      <c r="C47" s="19"/>
      <c r="D47" s="19"/>
      <c r="E47" s="19"/>
      <c r="F47" s="20"/>
      <c r="G47" s="20"/>
      <c r="H47" s="20"/>
      <c r="I47" s="20"/>
      <c r="J47" s="20"/>
      <c r="K47" s="21"/>
      <c r="L47" s="2"/>
      <c r="M47" s="2"/>
    </row>
    <row r="48" spans="1:13" ht="30" x14ac:dyDescent="0.25">
      <c r="A48" s="44"/>
      <c r="B48" s="52" t="s">
        <v>873</v>
      </c>
      <c r="C48" s="52" t="s">
        <v>874</v>
      </c>
      <c r="D48" s="52" t="s">
        <v>875</v>
      </c>
      <c r="E48" s="136" t="s">
        <v>877</v>
      </c>
      <c r="F48" s="136" t="s">
        <v>878</v>
      </c>
      <c r="G48" s="52" t="s">
        <v>871</v>
      </c>
      <c r="H48" s="136" t="s">
        <v>872</v>
      </c>
      <c r="I48" s="52" t="s">
        <v>868</v>
      </c>
      <c r="J48" s="52" t="s">
        <v>869</v>
      </c>
      <c r="K48" s="54" t="s">
        <v>18</v>
      </c>
      <c r="L48" s="2"/>
      <c r="M48" s="2"/>
    </row>
    <row r="49" spans="1:19" x14ac:dyDescent="0.25">
      <c r="A49" s="65" t="s">
        <v>893</v>
      </c>
      <c r="B49" s="5">
        <f>COUNTIF(Tabela!E:E,"*M_entrelinha_ad*") - B50</f>
        <v>12</v>
      </c>
      <c r="C49" s="5">
        <f>COUNTIF(Tabela!E:E,"*M_entrelinha com chamada_ad*") - C50</f>
        <v>69</v>
      </c>
      <c r="D49" s="5">
        <f>COUNTIF(Tabela!E:E,"*M_entrelinha com traço_ad*") - D50</f>
        <v>1</v>
      </c>
      <c r="E49" s="5">
        <f>SUM(B49:D49)</f>
        <v>82</v>
      </c>
      <c r="F49" s="5">
        <f>COUNTIF(Tabela!E:E,"*entrelinha_ad*") + COUNTIF(Tabela!E:E,"*entrelinha com chamada_ad*") + COUNTIF(Tabela!E:E,"*entrelinha com traço_ad*") - F50</f>
        <v>82</v>
      </c>
      <c r="G49" s="5">
        <f>COUNTIF(Tabela!E:E,"*M_linha_ad*") - G50</f>
        <v>23</v>
      </c>
      <c r="H49" s="5">
        <v>0</v>
      </c>
      <c r="I49" s="5">
        <f>COUNTIF(Tabela!E:E,"*M_verso_ad*")</f>
        <v>0</v>
      </c>
      <c r="J49" s="5">
        <f>COUNTIF(Tabela!E:E,"*M_margem_ad*")</f>
        <v>1</v>
      </c>
      <c r="K49" s="11">
        <f>SUM(E49, G49:I49)</f>
        <v>105</v>
      </c>
      <c r="L49" s="2"/>
      <c r="M49" s="2"/>
    </row>
    <row r="50" spans="1:19" x14ac:dyDescent="0.25">
      <c r="A50" s="65" t="s">
        <v>894</v>
      </c>
      <c r="B50" s="42">
        <f>COUNTIF(Tabela!E:E,"*}M_entrelinha_ad*")</f>
        <v>0</v>
      </c>
      <c r="C50" s="42">
        <f>COUNTIF(Tabela!E:E,"*}M_entrelinha com chamada_ad*")</f>
        <v>0</v>
      </c>
      <c r="D50" s="42">
        <f>COUNTIF(Tabela!E:E,"*}M_entrelinha com traço_ad*")</f>
        <v>0</v>
      </c>
      <c r="E50" s="42">
        <f>SUM(B50:D50)</f>
        <v>0</v>
      </c>
      <c r="F50" s="42">
        <f>COUNTIF(Tabela!E:E,"*}M_entrelinha_ad*") + COUNTIF(Tabela!E:E,"*}M_entrelinha com chamada_ad*") + COUNTIF(Tabela!E:E,"*}M_entrelinha com traço_ad*")</f>
        <v>0</v>
      </c>
      <c r="G50" s="5">
        <f>COUNTIF(Tabela!E:E,"*}M_linha_ad*")</f>
        <v>0</v>
      </c>
      <c r="H50" s="5">
        <v>0</v>
      </c>
      <c r="I50" s="5">
        <v>0</v>
      </c>
      <c r="J50" s="5">
        <v>0</v>
      </c>
      <c r="K50" s="11">
        <f t="shared" ref="K50:K54" si="6">SUM(E50, G50:I50)</f>
        <v>0</v>
      </c>
    </row>
    <row r="51" spans="1:19" x14ac:dyDescent="0.25">
      <c r="A51" s="6" t="s">
        <v>895</v>
      </c>
      <c r="B51" s="42">
        <f>COUNTIF(Tabela!E:E,"*I_entrelinha*") - C51 - D51</f>
        <v>216</v>
      </c>
      <c r="C51" s="42">
        <f>COUNTIF(Tabela!E:E,"*I_entrelinha com chamada*")</f>
        <v>2</v>
      </c>
      <c r="D51" s="42">
        <f>COUNTIF(Tabela!E:E,"*I_entrelinha com traço*")</f>
        <v>0</v>
      </c>
      <c r="E51" s="42">
        <f>SUM(B51:D51)</f>
        <v>218</v>
      </c>
      <c r="F51" s="42">
        <f>COUNTIF(Tabela!E:E,"*I_entrelinha*") - C51 - D51 + COUNTIF(Tabela!E:E,"*I_entrelinha com chamada*") + COUNTIF(Tabela!E:E,"*I_entrelinha com traço*")</f>
        <v>218</v>
      </c>
      <c r="G51" s="5">
        <f>COUNTIF(Tabela!E:E,"*I_linha*")</f>
        <v>55</v>
      </c>
      <c r="H51" s="5">
        <f>COUNTIF(Tabela!E:E,"*I_sob*")</f>
        <v>47</v>
      </c>
      <c r="I51" s="5">
        <f>COUNTIF(Tabela!E:E,"*I_verso_sub*")</f>
        <v>0</v>
      </c>
      <c r="J51" s="5">
        <v>0</v>
      </c>
      <c r="K51" s="11">
        <f t="shared" si="6"/>
        <v>320</v>
      </c>
    </row>
    <row r="52" spans="1:19" x14ac:dyDescent="0.25">
      <c r="A52" s="6" t="s">
        <v>896</v>
      </c>
      <c r="B52" s="42">
        <f>COUNTIF(Tabela!E:E,"*M_entrelinha*") - B49 - B50 - B53 - C49 - C50 - C53 - D49 - D50 - D53 - C52 - D52</f>
        <v>112</v>
      </c>
      <c r="C52" s="42">
        <f>COUNTIF(Tabela!E:E,"*M_entrelinha com chamada*") - C49 - C50 - C53</f>
        <v>13</v>
      </c>
      <c r="D52" s="42">
        <f>COUNTIF(Tabela!E:E,"*M_entrelinha com traço_sub*") - D53</f>
        <v>1</v>
      </c>
      <c r="E52" s="42">
        <f t="shared" ref="E52:E53" si="7">SUM(B52:D52)</f>
        <v>126</v>
      </c>
      <c r="F52" s="42">
        <f>COUNTIF(Tabela!E:E,"*M_entrelinha*") - F49 - F50 - F53</f>
        <v>126</v>
      </c>
      <c r="G52" s="5">
        <f>COUNTIF(Tabela!E:E,"*M_linha*") - G49 - G50</f>
        <v>5</v>
      </c>
      <c r="H52" s="5">
        <f>COUNTIF(Tabela!E:E,"*M_sob*") - H53</f>
        <v>47</v>
      </c>
      <c r="I52" s="5">
        <v>0</v>
      </c>
      <c r="J52" s="5">
        <v>0</v>
      </c>
      <c r="K52" s="11">
        <f t="shared" si="6"/>
        <v>178</v>
      </c>
    </row>
    <row r="53" spans="1:19" x14ac:dyDescent="0.25">
      <c r="A53" s="6" t="s">
        <v>897</v>
      </c>
      <c r="B53" s="42">
        <f>COUNTIF(Tabela!E:E,"*(~*)M_entrelinha*") + COUNTIF(Tabela!E:E,"*$M_entrelinha*") + COUNTIF(Tabela!E:E,"*&amp;M_entrelinha*") + COUNTIF(Tabela!E:E,"*#M_entrelinha*") - C53 - D53</f>
        <v>46</v>
      </c>
      <c r="C53" s="42">
        <f>COUNTIF(Tabela!E:E,"*(~*)M_entrelinha com chamada*") + COUNTIF(Tabela!E:E,"*$M_entrelinha com chamada*") + COUNTIF(Tabela!E:E,"*&amp;M_entrelinha com chamada*") + COUNTIF(Tabela!E:E,"*#M_entrelinha com chamada*")</f>
        <v>1</v>
      </c>
      <c r="D53" s="42">
        <f>COUNTIF(Tabela!E:E,"*(~*)M_entrelinha com traço_sub*") + COUNTIF(Tabela!E:E,"*$M_entrelinha com traço_sub*") + COUNTIF(Tabela!E:E,"*&amp;M_entrelinha com traço_sub*") + COUNTIF(Tabela!E:E,"*#M_entrelinha com traço_sub*")</f>
        <v>0</v>
      </c>
      <c r="E53" s="42">
        <f t="shared" si="7"/>
        <v>47</v>
      </c>
      <c r="F53" s="42">
        <f>COUNTIF(Tabela!E:E,"*(~*)M_entrelinha*") + COUNTIF(Tabela!E:E,"*$M_entrelinha*") + COUNTIF(Tabela!E:E,"*&amp;M_entrelinha*") + COUNTIF(Tabela!E:E,"*#M_entrelinha*")</f>
        <v>47</v>
      </c>
      <c r="G53" s="5">
        <f>COUNTIF(Tabela!G:G,"*(~*)M_linha*") + COUNTIF(Tabela!G:G,"*#M_linha*") + COUNTIF(Tabela!G:G,"*$M_linha*") + COUNTIF(Tabela!G:G,"*&amp;M_linha*")</f>
        <v>0</v>
      </c>
      <c r="H53" s="5">
        <f>COUNTIF(Tabela!E:E,"*(~*)M_sob*") + COUNTIF(Tabela!E:E,"*#M_sob*") + COUNTIF(Tabela!E:E,"*$M_sob*") + COUNTIF(Tabela!E:E,"*&amp;M_sob*") + COUNTIF(Tabela!E:E,"*/M_sob*") + COUNTIF(Tabela!E:E,"*}M_sob*")</f>
        <v>12</v>
      </c>
      <c r="I53" s="5">
        <v>0</v>
      </c>
      <c r="J53" s="5">
        <v>0</v>
      </c>
      <c r="K53" s="11">
        <f t="shared" si="6"/>
        <v>59</v>
      </c>
    </row>
    <row r="54" spans="1:19" ht="15.75" thickBot="1" x14ac:dyDescent="0.3">
      <c r="A54" s="26" t="s">
        <v>18</v>
      </c>
      <c r="B54" s="114">
        <f t="shared" ref="B54:G54" si="8">SUM(B49:B53)</f>
        <v>386</v>
      </c>
      <c r="C54" s="114">
        <f t="shared" si="8"/>
        <v>85</v>
      </c>
      <c r="D54" s="114">
        <f t="shared" si="8"/>
        <v>2</v>
      </c>
      <c r="E54" s="114">
        <f t="shared" si="8"/>
        <v>473</v>
      </c>
      <c r="F54" s="114">
        <f t="shared" si="8"/>
        <v>473</v>
      </c>
      <c r="G54" s="133">
        <f t="shared" si="8"/>
        <v>83</v>
      </c>
      <c r="H54" s="27">
        <f>SUM(H51:H53)</f>
        <v>106</v>
      </c>
      <c r="I54" s="12">
        <f>SUM(I49,I51)</f>
        <v>0</v>
      </c>
      <c r="J54" s="12">
        <f>SUM(J49)</f>
        <v>1</v>
      </c>
      <c r="K54" s="13">
        <f t="shared" si="6"/>
        <v>662</v>
      </c>
    </row>
    <row r="55" spans="1:19" ht="15.75" thickBot="1" x14ac:dyDescent="0.3">
      <c r="A55" s="2"/>
      <c r="B55" s="2"/>
      <c r="C55" s="2"/>
      <c r="D55" s="2"/>
      <c r="E55" s="2"/>
    </row>
    <row r="56" spans="1:19" ht="15.75" thickBot="1" x14ac:dyDescent="0.3">
      <c r="A56" s="18" t="s">
        <v>971</v>
      </c>
      <c r="B56" s="20"/>
      <c r="C56" s="20"/>
      <c r="D56" s="20"/>
      <c r="E56" s="21"/>
      <c r="G56" s="144" t="s">
        <v>972</v>
      </c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58"/>
    </row>
    <row r="57" spans="1:19" x14ac:dyDescent="0.25">
      <c r="A57" s="44"/>
      <c r="B57" s="24" t="s">
        <v>848</v>
      </c>
      <c r="C57" s="24" t="s">
        <v>849</v>
      </c>
      <c r="D57" s="24" t="s">
        <v>850</v>
      </c>
      <c r="E57" s="36" t="s">
        <v>18</v>
      </c>
      <c r="G57" s="44"/>
      <c r="H57" s="24" t="s">
        <v>902</v>
      </c>
      <c r="I57" s="147" t="s">
        <v>903</v>
      </c>
      <c r="J57" s="148" t="s">
        <v>904</v>
      </c>
      <c r="K57" s="149" t="s">
        <v>863</v>
      </c>
      <c r="L57" s="150" t="s">
        <v>950</v>
      </c>
      <c r="M57" s="151" t="s">
        <v>951</v>
      </c>
      <c r="N57" s="152" t="s">
        <v>905</v>
      </c>
      <c r="O57" s="148" t="s">
        <v>848</v>
      </c>
      <c r="P57" s="149" t="s">
        <v>849</v>
      </c>
      <c r="Q57" s="150" t="s">
        <v>850</v>
      </c>
      <c r="R57" s="151" t="s">
        <v>18</v>
      </c>
      <c r="S57" s="36" t="s">
        <v>843</v>
      </c>
    </row>
    <row r="58" spans="1:19" x14ac:dyDescent="0.25">
      <c r="A58" s="6" t="s">
        <v>834</v>
      </c>
      <c r="B58" s="5">
        <f>COUNTIF(Tabela!G:G,"*I_projecção*")</f>
        <v>19</v>
      </c>
      <c r="C58" s="5">
        <f>COUNTIF(Tabela!G:G,"*I_retroprojecção*")</f>
        <v>4</v>
      </c>
      <c r="D58" s="5">
        <f>COUNTIF(Tabela!G:G,"*I_retorno*")</f>
        <v>9</v>
      </c>
      <c r="E58" s="115">
        <f>SUM(B58:D58)</f>
        <v>32</v>
      </c>
      <c r="G58" s="41" t="s">
        <v>834</v>
      </c>
      <c r="H58" s="42">
        <f>COUNTIF(Tabela!H:H,"*I_sin*")</f>
        <v>17</v>
      </c>
      <c r="I58" s="17">
        <f>COUNTIF(Tabela!H:H,"*I_red*") + COUNTIF(Tabela!H:H,"*I_ant*")</f>
        <v>132</v>
      </c>
      <c r="J58" s="41">
        <f>COUNTIF(Tabela!H:H,"*I_tl*")</f>
        <v>32</v>
      </c>
      <c r="K58" s="42">
        <f>COUNTIF(Tabela!H:H,"*I_ad*")</f>
        <v>0</v>
      </c>
      <c r="L58" s="11">
        <f>COUNTIF(Tabela!H:H,"*I_sup*")</f>
        <v>0</v>
      </c>
      <c r="M58" s="153">
        <f>COUNTIF(Tabela!H:H,"*I_ling*") + COUNTIF(Tabela!H:H,"*I_reord*")</f>
        <v>17</v>
      </c>
      <c r="N58" s="17">
        <f>COUNTIF(Tabela!H:H,"*I_g*") + COUNTIF(Tabela!H:H,"*I_ort*") + COUNTIF(Tabela!H:H,"*I_pont*") + COUNTIF(Tabela!H:H,"*I_ns*")</f>
        <v>94</v>
      </c>
      <c r="O58" s="41">
        <f>COUNTIF(Tabela!H:H,"*I_proj*")</f>
        <v>19</v>
      </c>
      <c r="P58" s="5">
        <f>COUNTIF(Tabela!H:H,"*I_retro*")</f>
        <v>4</v>
      </c>
      <c r="Q58" s="11">
        <f>COUNTIF(Tabela!H:H,"*I_retor*")</f>
        <v>9</v>
      </c>
      <c r="R58" s="154">
        <f>SUM(H58:Q58)</f>
        <v>324</v>
      </c>
      <c r="S58" s="134">
        <f>A3</f>
        <v>324</v>
      </c>
    </row>
    <row r="59" spans="1:19" x14ac:dyDescent="0.25">
      <c r="A59" s="6" t="s">
        <v>835</v>
      </c>
      <c r="B59" s="42">
        <f>COUNTIF(Tabela!G:G,"*M_projecção*") - B60</f>
        <v>23</v>
      </c>
      <c r="C59" s="5">
        <f>COUNTIF(Tabela!G:G,"*M_retroprojecção*") - C60</f>
        <v>3</v>
      </c>
      <c r="D59" s="5">
        <f>COUNTIF(Tabela!G:G,"*M_retorno*") - D60</f>
        <v>4</v>
      </c>
      <c r="E59" s="115">
        <f t="shared" ref="E59:E61" si="9">SUM(B59:D59)</f>
        <v>30</v>
      </c>
      <c r="G59" s="41" t="s">
        <v>835</v>
      </c>
      <c r="H59" s="42">
        <f>COUNTIF(Tabela!H:H,"*M_sin*") - H60</f>
        <v>24</v>
      </c>
      <c r="I59" s="17">
        <f>COUNTIF(Tabela!H:H,"*M_red*") + COUNTIF(Tabela!H:H,"*M_ant*") - I60</f>
        <v>26</v>
      </c>
      <c r="J59" s="41">
        <f>COUNTIF(Tabela!H:H,"*M_tl*") - J60</f>
        <v>61</v>
      </c>
      <c r="K59" s="42">
        <f>COUNTIF(Tabela!H:H,"*M_ad*") - K60</f>
        <v>69</v>
      </c>
      <c r="L59" s="11">
        <f>COUNTIF(Tabela!H:H,"*M_sup*") - L60</f>
        <v>2</v>
      </c>
      <c r="M59" s="153">
        <f>COUNTIF(Tabela!H:H,"*M_ling*") - M60  + COUNTIF(Tabela!H:H,"*M_reord*")</f>
        <v>12</v>
      </c>
      <c r="N59" s="17">
        <f>COUNTIF(Tabela!H:H,"*M_g*") + COUNTIF(Tabela!H:H,"*M_ort*") + COUNTIF(Tabela!H:H,"*M_pont*") + COUNTIF(Tabela!H:H,"*M_ns*") - N60</f>
        <v>9</v>
      </c>
      <c r="O59" s="41">
        <f>COUNTIF(Tabela!H:H,"*M_proj*") - O60</f>
        <v>16</v>
      </c>
      <c r="P59" s="5">
        <f>COUNTIF(Tabela!H:H,"*M_retro*") - P60</f>
        <v>2</v>
      </c>
      <c r="Q59" s="11">
        <f>COUNTIF(Tabela!H:H,"*M_retor*") - Q60</f>
        <v>2</v>
      </c>
      <c r="R59" s="155">
        <f>SUM(H59:Q59)</f>
        <v>223</v>
      </c>
      <c r="S59" s="110">
        <f>B3</f>
        <v>223</v>
      </c>
    </row>
    <row r="60" spans="1:19" x14ac:dyDescent="0.25">
      <c r="A60" s="41" t="s">
        <v>831</v>
      </c>
      <c r="B60" s="42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2</v>
      </c>
      <c r="C60" s="42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D60" s="42">
        <f>COUNTIF(Tabela!G:G,"*(~*)M_retorno*") + COUNTIF(Tabela!G:G,"*#M_retorno*") + COUNTIF(Tabela!G:G,"*$M_retorno*") + COUNTIF(Tabela!G:G,"*&amp;M_retorno*") + COUNTIF(Tabela!G:G,"*/M_retorno*") + COUNTIF(Tabela!G:G,"*}M_retorno*")</f>
        <v>0</v>
      </c>
      <c r="E60" s="115">
        <f t="shared" si="9"/>
        <v>2</v>
      </c>
      <c r="G60" s="41" t="s">
        <v>831</v>
      </c>
      <c r="H60" s="42">
        <f>COUNTIF(Tabela!H:H,"*(~*)M_sin*") + COUNTIF(Tabela!H:H,"*#M_sin*") + COUNTIF(Tabela!H:H,"*$M_sin*") + COUNTIF(Tabela!H:H,"*&amp;M_sin*") + COUNTIF(Tabela!H:H,"*/M_sin*") + COUNTIF(Tabela!H:H,"*}M_sin*")</f>
        <v>11</v>
      </c>
      <c r="I60" s="17">
        <f>COUNTIF(Tabela!H:H,"*(~*)M_red*") + COUNTIF(Tabela!H:H,"*#M_red*") + COUNTIF(Tabela!H:H,"*$M_red*") + COUNTIF(Tabela!H:H,"*&amp;M_red*") + COUNTIF(Tabela!H:H,"*/M_red*") + COUNTIF(Tabela!H:H,"*}M_red*") + COUNTIF(Tabela!H:H,"*(~*)M_ant*") + COUNTIF(Tabela!H:H,"*#M_ant*") + COUNTIF(Tabela!H:H,"*$M_ant*") + COUNTIF(Tabela!H:H,"*&amp;M_ant*") + COUNTIF(Tabela!H:H,"*/M_ant*") + COUNTIF(Tabela!H:H,"*}M_ant*")</f>
        <v>12</v>
      </c>
      <c r="J60" s="41">
        <f>COUNTIF(Tabela!H:H,"*(~*)M_tl*") + COUNTIF(Tabela!H:H,"*#M_tl*") + COUNTIF(Tabela!H:H,"*$M_tl*") + COUNTIF(Tabela!H:H,"*&amp;M_tl*") + COUNTIF(Tabela!H:H,"*/M_tl*") + COUNTIF(Tabela!H:H,"*}M_tl*")</f>
        <v>30</v>
      </c>
      <c r="K60" s="42">
        <f>COUNTIF(Tabela!H:H,"*(~*)M_ad*") + COUNTIF(Tabela!H:H,"*#M_ad*") + COUNTIF(Tabela!H:H,"*$M_ad*") + COUNTIF(Tabela!H:H,"*&amp;M_ad*") + COUNTIF(Tabela!H:H,"*/M_ad*") + COUNTIF(Tabela!H:H,"*}M_ad*")</f>
        <v>0</v>
      </c>
      <c r="L60" s="11">
        <f>COUNTIF(Tabela!H:H,"*(~*)M_sup*") + COUNTIF(Tabela!H:H,"*#M_sup*") + COUNTIF(Tabela!H:H,"*$M_sup*") + COUNTIF(Tabela!H:H,"*&amp;M_sup*") + COUNTIF(Tabela!H:H,"*/M_sup*") + COUNTIF(Tabela!H:H,"*}M_sup*")</f>
        <v>3</v>
      </c>
      <c r="M60" s="153">
        <f>COUNTIF(Tabela!H:H,"*(~*)M_ling*") + COUNTIF(Tabela!H:H,"*#M_ling*") + COUNTIF(Tabela!H:H,"*$M_ling*") + COUNTIF(Tabela!H:H,"*&amp;M_ling*") + COUNTIF(Tabela!H:H,"*/M_ling*") + COUNTIF(Tabela!H:H,"*}M_ling*") + COUNTIF(Tabela!H:H,"*(~*)M_reord*") + COUNTIF(Tabela!H:H,"*#M_reord*") + COUNTIF(Tabela!H:H,"*$M_reord*") + COUNTIF(Tabela!H:H,"*&amp;M_reord*") + COUNTIF(Tabela!H:H,"*/M_reord*") + COUNTIF(Tabela!H:H,"*}M_reord*")</f>
        <v>4</v>
      </c>
      <c r="N60" s="17">
        <f>COUNTIF(Tabela!H:H,"*(~*)M_pont*") + COUNTIF(Tabela!H:H,"*#M_pont*") + COUNTIF(Tabela!H:H,"*$M_pont*") + COUNTIF(Tabela!H:H,"*&amp;M_pont*") + COUNTIF(Tabela!H:H,"*/M_pont*") + COUNTIF(Tabela!H:H,"*}M_pont*") + COUNTIF(Tabela!H:H,"*(~*)M_ns*") + COUNTIF(Tabela!H:H,"*#M_ns*") + COUNTIF(Tabela!H:H,"*$M_ns*") + COUNTIF(Tabela!H:H,"*&amp;M_ns*") + COUNTIF(Tabela!H:H,"*/M_ns*") + COUNTIF(Tabela!H:H,"*}M_ns*") + COUNTIF(Tabela!H:H,"*(~*)M_g*") + COUNTIF(Tabela!H:H,"*#M_g*") + COUNTIF(Tabela!H:H,"*$M_g*") + COUNTIF(Tabela!H:H,"*&amp;M_g*") + COUNTIF(Tabela!H:H,"*/M_g*") + COUNTIF(Tabela!H:H,"*}M_g*") + COUNTIF(Tabela!H:H,"*(~*)M_ort*") + COUNTIF(Tabela!H:H,"*#M_ort*") + COUNTIF(Tabela!H:H,"*$M_ort*") + COUNTIF(Tabela!H:H,"*&amp;M_ort*") + COUNTIF(Tabela!H:H,"*/M_ort*") + COUNTIF(Tabela!H:H,"*}M_ort*")</f>
        <v>12</v>
      </c>
      <c r="O60" s="41">
        <f>COUNTIF(Tabela!H:H,"*(~*)M_proj*")+COUNTIF(Tabela!H:H,"*#M_proj*")+COUNTIF(Tabela!H:H,"*$M_proj*")+COUNTIF(Tabela!H:H,"*&amp;M_proj*")+COUNTIF(Tabela!H:H,"*/M_proj*")+COUNTIF(Tabela!H:H,"*}M_proj*")</f>
        <v>1</v>
      </c>
      <c r="P60" s="5">
        <f xml:space="preserve"> COUNTIF(Tabela!H:H,"*(~*)M_retro*") + COUNTIF(Tabela!H:H,"*#M_retro*") + COUNTIF(Tabela!H:H,"*$M_retro*") + COUNTIF(Tabela!H:H,"*&amp;M_retro*") + COUNTIF(Tabela!H:H,"*/M_retro*") + COUNTIF(Tabela!H:H,"*}M_retro*")</f>
        <v>1</v>
      </c>
      <c r="Q60" s="11">
        <f xml:space="preserve"> COUNTIF(Tabela!H:H,"*(~*)M_retor*")+COUNTIF(Tabela!H:H,"*#M_retor*")+COUNTIF(Tabela!H:H,"*$M_retor*")+COUNTIF(Tabela!H:H,"*&amp;M_retor*")+COUNTIF(Tabela!H:H,"*/M_retor*")+COUNTIF(Tabela!H:H,"*}M_retor*")</f>
        <v>0</v>
      </c>
      <c r="R60" s="156">
        <f>SUM(H60:Q60)</f>
        <v>74</v>
      </c>
      <c r="S60" s="135">
        <f>C3</f>
        <v>74</v>
      </c>
    </row>
    <row r="61" spans="1:19" ht="15.75" thickBot="1" x14ac:dyDescent="0.3">
      <c r="A61" s="26" t="s">
        <v>18</v>
      </c>
      <c r="B61" s="116">
        <f>SUM(B58:B60)</f>
        <v>44</v>
      </c>
      <c r="C61" s="116">
        <f>SUM(C58:C60)</f>
        <v>7</v>
      </c>
      <c r="D61" s="116">
        <f>SUM(D58:D60)</f>
        <v>13</v>
      </c>
      <c r="E61" s="117">
        <f t="shared" si="9"/>
        <v>64</v>
      </c>
      <c r="G61" s="26" t="s">
        <v>18</v>
      </c>
      <c r="H61" s="27">
        <f t="shared" ref="H61:J61" si="10">SUM(H58:H60)</f>
        <v>52</v>
      </c>
      <c r="I61" s="157">
        <f t="shared" si="10"/>
        <v>170</v>
      </c>
      <c r="J61" s="26">
        <f t="shared" si="10"/>
        <v>123</v>
      </c>
      <c r="K61" s="27">
        <f t="shared" ref="K61:Q61" si="11">SUM(K58:K60)</f>
        <v>69</v>
      </c>
      <c r="L61" s="32">
        <f t="shared" si="11"/>
        <v>5</v>
      </c>
      <c r="M61" s="158">
        <f t="shared" si="11"/>
        <v>33</v>
      </c>
      <c r="N61" s="157">
        <f t="shared" si="11"/>
        <v>115</v>
      </c>
      <c r="O61" s="26">
        <f t="shared" si="11"/>
        <v>36</v>
      </c>
      <c r="P61" s="27">
        <f t="shared" si="11"/>
        <v>7</v>
      </c>
      <c r="Q61" s="32">
        <f t="shared" si="11"/>
        <v>11</v>
      </c>
      <c r="R61" s="159">
        <f>SUM(H61:Q61)</f>
        <v>621</v>
      </c>
      <c r="S61" s="146">
        <f>D3</f>
        <v>621</v>
      </c>
    </row>
    <row r="62" spans="1:19" ht="15.75" thickBot="1" x14ac:dyDescent="0.3">
      <c r="A62" s="2"/>
      <c r="B62" s="2"/>
      <c r="C62" s="2"/>
      <c r="D62" s="2"/>
      <c r="E62" s="2"/>
      <c r="J62" s="140" t="s">
        <v>952</v>
      </c>
      <c r="K62" s="57">
        <f>SUM(J61:L61)</f>
        <v>197</v>
      </c>
      <c r="L62" s="58"/>
      <c r="O62" s="140" t="s">
        <v>952</v>
      </c>
      <c r="P62" s="57">
        <f>SUM(O61:Q61)</f>
        <v>54</v>
      </c>
      <c r="Q62" s="58"/>
    </row>
    <row r="63" spans="1:19" x14ac:dyDescent="0.25">
      <c r="A63" s="118" t="s">
        <v>845</v>
      </c>
      <c r="B63" s="2"/>
      <c r="C63" s="2"/>
      <c r="D63" s="2"/>
      <c r="E63" s="2"/>
      <c r="F63" s="2"/>
      <c r="G63" s="2"/>
      <c r="H63" s="2"/>
      <c r="I63" s="2"/>
      <c r="J63" s="2"/>
    </row>
    <row r="64" spans="1:19" x14ac:dyDescent="0.25">
      <c r="A64" s="118"/>
      <c r="B64" s="2"/>
      <c r="C64" s="2"/>
      <c r="D64" s="2"/>
      <c r="E64" s="2"/>
      <c r="F64" s="2"/>
      <c r="G64" s="2"/>
      <c r="H64" s="2"/>
      <c r="I64" s="2"/>
      <c r="J64" s="2"/>
    </row>
    <row r="65" spans="1:14" ht="15.75" thickBot="1" x14ac:dyDescent="0.3">
      <c r="A65" s="118" t="s">
        <v>846</v>
      </c>
      <c r="B65" s="2"/>
      <c r="C65" s="2"/>
      <c r="D65" s="2"/>
      <c r="E65" s="2"/>
      <c r="F65" s="2"/>
      <c r="G65" s="2"/>
      <c r="H65" s="2"/>
      <c r="I65" s="2"/>
      <c r="J65" s="2"/>
    </row>
    <row r="66" spans="1:14" ht="15.75" thickBot="1" x14ac:dyDescent="0.3">
      <c r="A66" s="119" t="s">
        <v>847</v>
      </c>
      <c r="B66" s="120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8"/>
    </row>
    <row r="67" spans="1:14" x14ac:dyDescent="0.25">
      <c r="A67" s="59"/>
      <c r="B67" s="121"/>
      <c r="C67" s="167" t="s">
        <v>834</v>
      </c>
      <c r="D67" s="168"/>
      <c r="E67" s="168"/>
      <c r="F67" s="168"/>
      <c r="G67" s="169" t="s">
        <v>835</v>
      </c>
      <c r="H67" s="170"/>
      <c r="I67" s="170"/>
      <c r="J67" s="170"/>
      <c r="K67" s="171" t="s">
        <v>831</v>
      </c>
      <c r="L67" s="172"/>
      <c r="M67" s="172"/>
      <c r="N67" s="173"/>
    </row>
    <row r="68" spans="1:14" x14ac:dyDescent="0.25">
      <c r="A68" s="41"/>
      <c r="B68" s="60" t="s">
        <v>18</v>
      </c>
      <c r="C68" s="61" t="s">
        <v>848</v>
      </c>
      <c r="D68" s="42" t="s">
        <v>849</v>
      </c>
      <c r="E68" s="42" t="s">
        <v>850</v>
      </c>
      <c r="F68" s="17" t="s">
        <v>851</v>
      </c>
      <c r="G68" s="62" t="s">
        <v>848</v>
      </c>
      <c r="H68" s="42" t="s">
        <v>849</v>
      </c>
      <c r="I68" s="42" t="s">
        <v>850</v>
      </c>
      <c r="J68" s="17" t="s">
        <v>852</v>
      </c>
      <c r="K68" s="63" t="s">
        <v>848</v>
      </c>
      <c r="L68" s="42" t="s">
        <v>849</v>
      </c>
      <c r="M68" s="42" t="s">
        <v>850</v>
      </c>
      <c r="N68" s="64" t="s">
        <v>853</v>
      </c>
    </row>
    <row r="69" spans="1:14" x14ac:dyDescent="0.25">
      <c r="A69" s="65" t="s">
        <v>879</v>
      </c>
      <c r="B69" s="60">
        <f>SUM(F69+J69+N69)</f>
        <v>55</v>
      </c>
      <c r="C69" s="61">
        <f>COUNTIF(Tabela!G:G,"*I_projecção_mesma frase*")</f>
        <v>15</v>
      </c>
      <c r="D69" s="42">
        <f>COUNTIF(Tabela!G:G,"*I_retroprojecção_mesma frase*")</f>
        <v>3</v>
      </c>
      <c r="E69" s="42">
        <f>COUNTIF(Tabela!G:G,"*I_retorno_mesma frase*")</f>
        <v>9</v>
      </c>
      <c r="F69" s="60">
        <f>SUM(C69:E69)</f>
        <v>27</v>
      </c>
      <c r="G69" s="62">
        <f>COUNTIF(Tabela!G:G,"*M_projecção_mesma frase*") + COUNTIF(Tabela!G:G,"*M_projecção(~*)_mesma frase*") - K69</f>
        <v>21</v>
      </c>
      <c r="H69" s="42">
        <f>COUNTIF(Tabela!G:G,"*M_retroprojecção_mesma frase*") + COUNTIF(Tabela!G:G,"*M_retroprojecção(~*)_mesma frase*") - L69</f>
        <v>1</v>
      </c>
      <c r="I69" s="42">
        <f>COUNTIF(Tabela!G:G,"*M_retorno_mesma frase*") - M69</f>
        <v>4</v>
      </c>
      <c r="J69" s="60">
        <f>SUM(G69:I69)</f>
        <v>26</v>
      </c>
      <c r="K69" s="63">
        <f>COUNTIF(Tabela!G:G,"*(~*)M_projecção_mesma frase*") + COUNTIF(Tabela!G:G,"*#M_projecção_mesma frase*") + COUNTIF(Tabela!G:G,"*$M_projecção_mesma frase*") + COUNTIF(Tabela!G:G,"*&amp;M_projecção_mesma frase*") + COUNTIF(Tabela!G:G,"*/M_projecção_mesma frase*") + COUNTIF(Tabela!G:G,"*}M_projecção_mesma frase*")</f>
        <v>2</v>
      </c>
      <c r="L69" s="42">
        <f>COUNTIF(Tabela!G:G,"*(~*)M_retroprojecção_mesma frase*") + COUNTIF(Tabela!G:G,"*#M_retroprojecção_mesma frase*") + COUNTIF(Tabela!G:G,"*$M_retroprojecção_mesma frase*") + COUNTIF(Tabela!G:G,"*&amp;M_retroprojecção_mesma frase*") + COUNTIF(Tabela!G:G,"*/M_retroprojecção_mesma frase*") + COUNTIF(Tabela!G:G,"*}M_retroprojecção_mesma frase*")</f>
        <v>0</v>
      </c>
      <c r="M69" s="42">
        <f>COUNTIF(Tabela!G:G,"*(~*)M_retorno_mesma frase*") + COUNTIF(Tabela!G:G,"*#M_retorno_mesma frase*") + COUNTIF(Tabela!G:G,"*$M_retorno_mesma frase*") + COUNTIF(Tabela!G:G,"*&amp;M_retorno_mesma frase*") + COUNTIF(Tabela!G:G,"*/M_retorno_mesma frase*") + COUNTIF(Tabela!G:G,"*}M_retorno_mesma frase*")</f>
        <v>0</v>
      </c>
      <c r="N69" s="66">
        <f>SUM(K69:M69)</f>
        <v>2</v>
      </c>
    </row>
    <row r="70" spans="1:14" x14ac:dyDescent="0.25">
      <c r="A70" s="41" t="s">
        <v>880</v>
      </c>
      <c r="B70" s="60">
        <f t="shared" ref="B70:B75" si="12">SUM(F70+J70+N70)</f>
        <v>5</v>
      </c>
      <c r="C70" s="61">
        <f>COUNTIF(Tabela!G:G,"*I_projecção_frase contígua*")</f>
        <v>2</v>
      </c>
      <c r="D70" s="42">
        <f>COUNTIF(Tabela!G:G,"*I_retroprojecção_frase contígua*")</f>
        <v>0</v>
      </c>
      <c r="E70" s="42">
        <f>COUNTIF(Tabela!G:G,"*I_retorno_frase contígua*")</f>
        <v>0</v>
      </c>
      <c r="F70" s="60">
        <f t="shared" ref="F70:F73" si="13">SUM(C70:E70)</f>
        <v>2</v>
      </c>
      <c r="G70" s="62">
        <f>COUNTIF(Tabela!G:G,"*M_projecção_frase contígua*") + COUNTIF(Tabela!G:G,"*M_projecção(~*)_frase contígua*") - K70</f>
        <v>1</v>
      </c>
      <c r="H70" s="42">
        <f>COUNTIF(Tabela!G:G,"*M_retroprojecção_frase contígua*") + COUNTIF(Tabela!G:G,"*M_retroprojecção(~*)_frase contígua*") - L70</f>
        <v>2</v>
      </c>
      <c r="I70" s="42">
        <f>COUNTIF(Tabela!G:G,"*M_retorno_frase contígua*") - M70</f>
        <v>0</v>
      </c>
      <c r="J70" s="60">
        <f t="shared" ref="J70:J73" si="14">SUM(G70:I70)</f>
        <v>3</v>
      </c>
      <c r="K70" s="63">
        <f>COUNTIF(Tabela!G:G,"*(~*)M_projecção_frase contígua*") + COUNTIF(Tabela!G:G,"*#M_projecção_frase contígua*") + COUNTIF(Tabela!G:G,"*$M_projecção_frase contígua*") + COUNTIF(Tabela!G:G,"*&amp;M_projecção_frase contígua*") + COUNTIF(Tabela!G:G,"*/M_projecção_frase contígua*") + COUNTIF(Tabela!G:G,"*}M_projecção_frase contígua*")</f>
        <v>0</v>
      </c>
      <c r="L70" s="42">
        <f>COUNTIF(Tabela!G:G,"*(~*)M_retroprojecção_frase contígua*") + COUNTIF(Tabela!G:G,"*#M_retroprojecção_frase contígua*") + COUNTIF(Tabela!G:G,"*$M_retroprojecção_frase contígua*") + COUNTIF(Tabela!G:G,"*&amp;M_retroprojecção_frase contígua*") + COUNTIF(Tabela!G:G,"*/M_retroprojecção_frase contígua*") + COUNTIF(Tabela!G:G,"*}M_retroprojecção_frase contígua*")</f>
        <v>0</v>
      </c>
      <c r="M70" s="42">
        <f>COUNTIF(Tabela!G:G,"*(~*)M_retorno_frase contígua*") + COUNTIF(Tabela!G:G,"*#M_retorno_frase contígua*") + COUNTIF(Tabela!G:G,"*$M_retorno_frase contígua*") + COUNTIF(Tabela!G:G,"*&amp;M_retorno_frase contígua*") + COUNTIF(Tabela!G:G,"*/M_retorno_frase contígua*") + COUNTIF(Tabela!G:G,"*}M_retorno_frase contígua*")</f>
        <v>0</v>
      </c>
      <c r="N70" s="66">
        <f t="shared" ref="N70:N73" si="15">SUM(K70:M70)</f>
        <v>0</v>
      </c>
    </row>
    <row r="71" spans="1:14" x14ac:dyDescent="0.25">
      <c r="A71" s="41" t="s">
        <v>881</v>
      </c>
      <c r="B71" s="60">
        <f t="shared" si="12"/>
        <v>0</v>
      </c>
      <c r="C71" s="61">
        <f>COUNTIF(Tabela!G:G,"*I_projecção_algumas frases*")</f>
        <v>0</v>
      </c>
      <c r="D71" s="42">
        <f>COUNTIF(Tabela!G:G,"*I_retroprojecção_algumas frases*")</f>
        <v>0</v>
      </c>
      <c r="E71" s="42">
        <f>COUNTIF(Tabela!G:G,"*I_retorno_algumas frases*")</f>
        <v>0</v>
      </c>
      <c r="F71" s="60">
        <f t="shared" si="13"/>
        <v>0</v>
      </c>
      <c r="G71" s="62">
        <f>COUNTIF(Tabela!G:G,"*M_projecção_algumas frases*") + COUNTIF(Tabela!G:G,"*M_projecção(~*)_algumas frases*") - K71</f>
        <v>0</v>
      </c>
      <c r="H71" s="42">
        <f>COUNTIF(Tabela!G:G,"*M_retroprojecção_algumas frases*") + COUNTIF(Tabela!G:G,"*M_retroprojecção(~*)_algumas frases*") - L71</f>
        <v>0</v>
      </c>
      <c r="I71" s="42">
        <f>COUNTIF(Tabela!G:G,"*M_retorno_algumas frases*") - M71</f>
        <v>0</v>
      </c>
      <c r="J71" s="60">
        <f t="shared" si="14"/>
        <v>0</v>
      </c>
      <c r="K71" s="63">
        <f>COUNTIF(Tabela!G:G,"*(~*)M_projecção_algumas frases*") + COUNTIF(Tabela!G:G,"*#M_projecção_algumas frases*") + COUNTIF(Tabela!G:G,"*$M_projecção_algumas frases*") + COUNTIF(Tabela!G:G,"*&amp;M_projecção_algumas frases*") + COUNTIF(Tabela!G:G,"*/M_projecção_algumas frases*") + COUNTIF(Tabela!G:G,"*}M_projecção_algumas frases*")</f>
        <v>0</v>
      </c>
      <c r="L71" s="42">
        <f>COUNTIF(Tabela!G:G,"*(~*)M_retroprojecção_algumas frases*") + COUNTIF(Tabela!G:G,"*#M_retroprojecção_algumas frases*") + COUNTIF(Tabela!G:G,"*$M_retroprojecção_algumas frases*") + COUNTIF(Tabela!G:G,"*&amp;M_retroprojecção_algumas frases*") + COUNTIF(Tabela!G:G,"*/M_retroprojecção_algumas frases*") + COUNTIF(Tabela!G:G,"*}M_retroprojecção_algumas frases*")</f>
        <v>0</v>
      </c>
      <c r="M71" s="42">
        <f>COUNTIF(Tabela!G:G,"*(~*)M_retorno_algumas frases*") + COUNTIF(Tabela!G:G,"*#M_retorno_algumas frases*") + COUNTIF(Tabela!G:G,"*$M_retorno_algumas frases*") + COUNTIF(Tabela!G:G,"*&amp;M_retorno_algumas frases*") + COUNTIF(Tabela!G:G,"*/M_retorno_algumas frases*") + COUNTIF(Tabela!G:G,"*}M_retorno_algumas frases*")</f>
        <v>0</v>
      </c>
      <c r="N71" s="66">
        <f t="shared" si="15"/>
        <v>0</v>
      </c>
    </row>
    <row r="72" spans="1:14" x14ac:dyDescent="0.25">
      <c r="A72" s="41" t="s">
        <v>882</v>
      </c>
      <c r="B72" s="60">
        <f t="shared" si="12"/>
        <v>2</v>
      </c>
      <c r="C72" s="61">
        <f>COUNTIF(Tabela!G:G,"*I_projecção_parágrafo contíguo*")</f>
        <v>1</v>
      </c>
      <c r="D72" s="42">
        <f>COUNTIF(Tabela!G:G,"*I_retroprojecção_parágrafo contíguo*")</f>
        <v>1</v>
      </c>
      <c r="E72" s="42">
        <f>COUNTIF(Tabela!G:G,"*I_retorno_parágrafo contíguo*")</f>
        <v>0</v>
      </c>
      <c r="F72" s="60">
        <f t="shared" si="13"/>
        <v>2</v>
      </c>
      <c r="G72" s="62">
        <f>COUNTIF(Tabela!G:G,"*M_projecção_parágrafo contíguo*") + COUNTIF(Tabela!G:G,"*M_projecção(~*)_parágrafo contíguo*") - K72</f>
        <v>0</v>
      </c>
      <c r="H72" s="42">
        <f>COUNTIF(Tabela!G:G,"*M_retroprojecção_parágrafo contíguo*") + COUNTIF(Tabela!G:G,"*M_retroprojecção(~*)_parágrafo contíguo*") - L72</f>
        <v>0</v>
      </c>
      <c r="I72" s="42">
        <f>COUNTIF(Tabela!G:G,"*M_retorno_parágrafo contíguo*") - M72</f>
        <v>0</v>
      </c>
      <c r="J72" s="60">
        <f t="shared" si="14"/>
        <v>0</v>
      </c>
      <c r="K72" s="63">
        <f>COUNTIF(Tabela!G:G,"*(~*)M_projecção_parágrafo contíguo*") + COUNTIF(Tabela!G:G,"*#M_projecção_parágrafo contíguo*") + COUNTIF(Tabela!G:G,"*$M_projecção_parágrafo contíguo*") + COUNTIF(Tabela!G:G,"*&amp;M_projecção_parágrafo contíguo*") + COUNTIF(Tabela!G:G,"*/M_projecção_parágrafo contíguo*") + COUNTIF(Tabela!G:G,"*}M_projecção_parágrafo contíguo*")</f>
        <v>0</v>
      </c>
      <c r="L72" s="42">
        <f>COUNTIF(Tabela!G:G,"*(~*)M_retroprojecção_parágrafo contíguo*") + COUNTIF(Tabela!G:G,"*#M_retroprojecção_parágrafo contíguo*") + COUNTIF(Tabela!G:G,"*$M_retroprojecção_parágrafo contíguo*") + COUNTIF(Tabela!G:G,"*&amp;M_retroprojecção_parágrafo contíguo*") + COUNTIF(Tabela!G:G,"*/M_retroprojecção_parágrafo contíguo*") + COUNTIF(Tabela!G:G,"*}M_retroprojecção_parágrafo contíguo*")</f>
        <v>0</v>
      </c>
      <c r="M72" s="42">
        <f>COUNTIF(Tabela!G:G,"*(~*)M_retorno_parágrafo contíguo*") + COUNTIF(Tabela!G:G,"*#M_retorno_parágrafo contíguo*") + COUNTIF(Tabela!G:G,"*$M_retorno_parágrafo contíguo*") + COUNTIF(Tabela!G:G,"*&amp;M_retorno_parágrafo contíguo*") + COUNTIF(Tabela!G:G,"*/M_retorno_parágrafo contíguo*") + COUNTIF(Tabela!G:G,"*}M_retorno_parágrafo contíguo*")</f>
        <v>0</v>
      </c>
      <c r="N72" s="66">
        <f t="shared" si="15"/>
        <v>0</v>
      </c>
    </row>
    <row r="73" spans="1:14" x14ac:dyDescent="0.25">
      <c r="A73" s="41" t="s">
        <v>883</v>
      </c>
      <c r="B73" s="60">
        <f t="shared" si="12"/>
        <v>2</v>
      </c>
      <c r="C73" s="61">
        <f>COUNTIF(Tabela!G:G,"*I_projecção_alguns parágrafos*")</f>
        <v>1</v>
      </c>
      <c r="D73" s="42">
        <f>COUNTIF(Tabela!G:G,"*I_retroprojecção_alguns parágrafos*")</f>
        <v>0</v>
      </c>
      <c r="E73" s="42">
        <f>COUNTIF(Tabela!G:G,"*I_retorno_alguns parágrafos*")</f>
        <v>0</v>
      </c>
      <c r="F73" s="60">
        <f t="shared" si="13"/>
        <v>1</v>
      </c>
      <c r="G73" s="62">
        <f>COUNTIF(Tabela!G:G,"*M_projecção_alguns parágrafos*") + COUNTIF(Tabela!G:G,"*M_projecção(~*)_alguns parágrafos*") - K73</f>
        <v>1</v>
      </c>
      <c r="H73" s="42">
        <f>COUNTIF(Tabela!G:G,"*M_retroprojecção_alguns parágrafos*") + COUNTIF(Tabela!G:G,"*M_retroprojecção(~*)_alguns parágrafos*") - L73</f>
        <v>0</v>
      </c>
      <c r="I73" s="42">
        <f>COUNTIF(Tabela!G:G,"*M_retorno_alguns parágrafos*") - M73</f>
        <v>0</v>
      </c>
      <c r="J73" s="60">
        <f t="shared" si="14"/>
        <v>1</v>
      </c>
      <c r="K73" s="63">
        <f>COUNTIF(Tabela!G:G,"*(~*)M_projecção_alguns parágrafos*") + COUNTIF(Tabela!G:G,"*#M_projecção_alguns parágrafos*") + COUNTIF(Tabela!G:G,"*$M_projecção_alguns parágrafos*") + COUNTIF(Tabela!G:G,"*&amp;M_projecção_alguns parágrafos*") + COUNTIF(Tabela!G:G,"*/M_projecção_alguns parágrafos*") + COUNTIF(Tabela!G:G,"*}M_projecção_alguns parágrafos*")</f>
        <v>0</v>
      </c>
      <c r="L73" s="42">
        <f>COUNTIF(Tabela!G:G,"*(~*)M_retroprojecção_alguns parágrafos*") + COUNTIF(Tabela!G:G,"*#M_retroprojecção_alguns parágrafos*") + COUNTIF(Tabela!G:G,"*$M_retroprojecção_alguns parágrafos*") + COUNTIF(Tabela!G:G,"*&amp;M_retroprojecção_alguns parágrafos*") + COUNTIF(Tabela!G:G,"*/M_retroprojecção_alguns parágrafos*") + COUNTIF(Tabela!G:G,"*}M_retroprojecção_alguns parágrafos*")</f>
        <v>0</v>
      </c>
      <c r="M73" s="42">
        <f>COUNTIF(Tabela!G:G,"*(~*)M_retorno_alguns parágrafos*") + COUNTIF(Tabela!G:G,"*#M_retorno_alguns parágrafos*") + COUNTIF(Tabela!G:G,"*$M_retorno_alguns parágrafos*") + COUNTIF(Tabela!G:G,"*&amp;M_retorno_alguns parágrafos*") + COUNTIF(Tabela!G:G,"*/M_retorno_alguns parágrafos*") + COUNTIF(Tabela!G:G,"*}M_retorno_alguns parágrafos*")</f>
        <v>0</v>
      </c>
      <c r="N73" s="66">
        <f t="shared" si="15"/>
        <v>0</v>
      </c>
    </row>
    <row r="74" spans="1:14" x14ac:dyDescent="0.25">
      <c r="A74" s="67" t="s">
        <v>842</v>
      </c>
      <c r="B74" s="122">
        <f>SUM(F74+J74+N74)</f>
        <v>64</v>
      </c>
      <c r="C74" s="68">
        <f>SUM(C69:C73)</f>
        <v>19</v>
      </c>
      <c r="D74" s="69">
        <f t="shared" ref="D74:M74" si="16">SUM(D69:D73)</f>
        <v>4</v>
      </c>
      <c r="E74" s="69">
        <f t="shared" si="16"/>
        <v>9</v>
      </c>
      <c r="F74" s="60">
        <f t="shared" si="16"/>
        <v>32</v>
      </c>
      <c r="G74" s="70">
        <f t="shared" si="16"/>
        <v>23</v>
      </c>
      <c r="H74" s="69">
        <f t="shared" si="16"/>
        <v>3</v>
      </c>
      <c r="I74" s="69">
        <f t="shared" si="16"/>
        <v>4</v>
      </c>
      <c r="J74" s="60">
        <f t="shared" si="16"/>
        <v>30</v>
      </c>
      <c r="K74" s="71">
        <f t="shared" si="16"/>
        <v>2</v>
      </c>
      <c r="L74" s="69">
        <f t="shared" si="16"/>
        <v>0</v>
      </c>
      <c r="M74" s="69">
        <f t="shared" si="16"/>
        <v>0</v>
      </c>
      <c r="N74" s="66">
        <f>SUM(K75:M75)</f>
        <v>2</v>
      </c>
    </row>
    <row r="75" spans="1:14" ht="15.75" thickBot="1" x14ac:dyDescent="0.3">
      <c r="A75" s="72" t="s">
        <v>843</v>
      </c>
      <c r="B75" s="123">
        <f t="shared" si="12"/>
        <v>64</v>
      </c>
      <c r="C75" s="73">
        <f>COUNTIF(Tabela!G:G,"*I_projecção_*")</f>
        <v>19</v>
      </c>
      <c r="D75" s="74">
        <f>COUNTIF(Tabela!G:G,"*I_retroprojecção*")</f>
        <v>4</v>
      </c>
      <c r="E75" s="74">
        <f>COUNTIF(Tabela!G:G,"*I_retorno*")</f>
        <v>9</v>
      </c>
      <c r="F75" s="75">
        <f>SUM(C75:E75)</f>
        <v>32</v>
      </c>
      <c r="G75" s="76">
        <f>COUNTIF(Tabela!G:G,"*M_projecção*") - K75</f>
        <v>23</v>
      </c>
      <c r="H75" s="77">
        <f>COUNTIF(Tabela!G:G,"*M_retroprojecção*") - L75</f>
        <v>3</v>
      </c>
      <c r="I75" s="77">
        <f>COUNTIF(Tabela!G:G,"*M_retorno*") - M75</f>
        <v>4</v>
      </c>
      <c r="J75" s="78">
        <f>SUM(G75:I75)</f>
        <v>30</v>
      </c>
      <c r="K75" s="79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2</v>
      </c>
      <c r="L75" s="80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M75" s="80">
        <f>COUNTIF(Tabela!G:G,"*(~*)M_retorno*") + COUNTIF(Tabela!G:G,"*#M_retorno*") + COUNTIF(Tabela!G:G,"*$M_retorno*") + COUNTIF(Tabela!G:G,"*&amp;M_retorno*") + COUNTIF(Tabela!G:G,"*/M_retorno*") + COUNTIF(Tabela!G:G,"*}M_retorno*")</f>
        <v>0</v>
      </c>
      <c r="N75" s="81">
        <f>SUM(K75:M75)</f>
        <v>2</v>
      </c>
    </row>
    <row r="76" spans="1:14" ht="15.75" thickBot="1" x14ac:dyDescent="0.3">
      <c r="A76" s="82"/>
      <c r="B76" s="3"/>
      <c r="C76" s="2"/>
      <c r="D76" s="2"/>
      <c r="E76" s="2"/>
      <c r="F76" s="9"/>
      <c r="G76" s="2"/>
      <c r="H76" s="2"/>
      <c r="I76" s="2"/>
      <c r="J76" s="2"/>
    </row>
    <row r="77" spans="1:14" ht="15.75" thickBot="1" x14ac:dyDescent="0.3">
      <c r="A77" s="83" t="s">
        <v>854</v>
      </c>
      <c r="B77" s="84"/>
      <c r="C77" s="84"/>
      <c r="D77" s="84"/>
      <c r="E77" s="84"/>
      <c r="F77" s="85"/>
      <c r="G77" s="2"/>
      <c r="H77" s="174" t="s">
        <v>955</v>
      </c>
      <c r="I77" s="175"/>
      <c r="J77" s="175"/>
      <c r="K77" s="175"/>
      <c r="L77" s="176"/>
    </row>
    <row r="78" spans="1:14" x14ac:dyDescent="0.25">
      <c r="A78" s="31"/>
      <c r="B78" s="86" t="s">
        <v>834</v>
      </c>
      <c r="C78" s="87" t="s">
        <v>835</v>
      </c>
      <c r="D78" s="14" t="s">
        <v>831</v>
      </c>
      <c r="E78" s="87" t="s">
        <v>884</v>
      </c>
      <c r="F78" s="15" t="s">
        <v>18</v>
      </c>
      <c r="G78" s="2"/>
      <c r="H78" s="39"/>
      <c r="I78" s="40" t="s">
        <v>848</v>
      </c>
      <c r="J78" s="40" t="s">
        <v>849</v>
      </c>
      <c r="K78" s="40" t="s">
        <v>850</v>
      </c>
      <c r="L78" s="36" t="s">
        <v>956</v>
      </c>
    </row>
    <row r="79" spans="1:14" x14ac:dyDescent="0.25">
      <c r="A79" s="4" t="s">
        <v>879</v>
      </c>
      <c r="B79" s="5">
        <f>COUNTIF(Tabela!G:G,"*(g)I_mesma frase*")</f>
        <v>25</v>
      </c>
      <c r="C79" s="5">
        <f>COUNTIF(Tabela!G:G,"*(g)M_mesma frase*")</f>
        <v>43</v>
      </c>
      <c r="D79" s="5">
        <f>COUNTIF(Tabela!G:G,"*(g)(~*)M_mesma frase*") + COUNTIF(Tabela!G:G,"*(g)#M_mesma frase*") + COUNTIF(Tabela!G:G,"*(g)$M_mesma frase*") + COUNTIF(Tabela!G:G,"*(g)&amp;M_mesma frase*") + COUNTIF(Tabela!G:G,"*(g)/M_mesma frase*") + COUNTIF(Tabela!G:G,"*(g)}M_mesma frase*")</f>
        <v>2</v>
      </c>
      <c r="E79" s="5">
        <f>COUNTIF(Tabela!G:G,"*(g)M(*)_mesma frase*")</f>
        <v>5</v>
      </c>
      <c r="F79" s="115">
        <f>SUM(B79:E79)</f>
        <v>75</v>
      </c>
      <c r="G79" s="2"/>
      <c r="H79" s="65" t="s">
        <v>879</v>
      </c>
      <c r="I79" s="42">
        <f t="shared" ref="I79:K84" si="17">SUM(C69, G69, K69)</f>
        <v>38</v>
      </c>
      <c r="J79" s="42">
        <f t="shared" si="17"/>
        <v>4</v>
      </c>
      <c r="K79" s="42">
        <f t="shared" si="17"/>
        <v>13</v>
      </c>
      <c r="L79" s="10">
        <f>SUM(I79:K79)</f>
        <v>55</v>
      </c>
    </row>
    <row r="80" spans="1:14" x14ac:dyDescent="0.25">
      <c r="A80" s="6" t="s">
        <v>880</v>
      </c>
      <c r="B80" s="5">
        <f>COUNTIF(Tabela!G:G,"*(g)I_frase contígua*")</f>
        <v>0</v>
      </c>
      <c r="C80" s="5">
        <f>COUNTIF(Tabela!G:G,"*(g)M_frase contígua*")</f>
        <v>0</v>
      </c>
      <c r="D80" s="5">
        <f>COUNTIF(Tabela!G:G,"*(g)(~*)M_frase contígua*") + COUNTIF(Tabela!G:G,"*(g)#M_frase contígua*") + COUNTIF(Tabela!G:G,"*(g)$M_frase contígua*") + COUNTIF(Tabela!G:G,"*(g)&amp;M_frase contígua*") + COUNTIF(Tabela!G:G,"*(g)/M_frase contígua*") + COUNTIF(Tabela!G:G,"*(g)}M_frase contígua*")</f>
        <v>0</v>
      </c>
      <c r="E80" s="5">
        <f>COUNTIF(Tabela!G:G,"*(g)M(*)_frase contígua*")</f>
        <v>0</v>
      </c>
      <c r="F80" s="115">
        <f t="shared" ref="F80:F83" si="18">SUM(B80:E80)</f>
        <v>0</v>
      </c>
      <c r="G80" s="2"/>
      <c r="H80" s="41" t="s">
        <v>880</v>
      </c>
      <c r="I80" s="42">
        <f t="shared" si="17"/>
        <v>3</v>
      </c>
      <c r="J80" s="42">
        <f t="shared" si="17"/>
        <v>2</v>
      </c>
      <c r="K80" s="42">
        <f t="shared" si="17"/>
        <v>0</v>
      </c>
      <c r="L80" s="10">
        <f t="shared" ref="L80:L84" si="19">SUM(I80:K80)</f>
        <v>5</v>
      </c>
    </row>
    <row r="81" spans="1:12" x14ac:dyDescent="0.25">
      <c r="A81" s="6" t="s">
        <v>881</v>
      </c>
      <c r="B81" s="5">
        <f>COUNTIF(Tabela!G:G,"*(g)I_algumas frases*")</f>
        <v>0</v>
      </c>
      <c r="C81" s="5">
        <f>COUNTIF(Tabela!G:G,"*(g)M_algumas frases*")</f>
        <v>0</v>
      </c>
      <c r="D81" s="5">
        <f>COUNTIF(Tabela!G:G,"*(g)(~*)M_algumas frases*") + COUNTIF(Tabela!G:G,"*(g)#M_algumas frases*") + COUNTIF(Tabela!G:G,"*(g)$M_algumas frases*") + COUNTIF(Tabela!G:G,"*(g)&amp;M_algumas frases*") + COUNTIF(Tabela!G:G,"*(g)/M_algumas frases*") + COUNTIF(Tabela!G:G,"*(g)}M_algumas frases*")</f>
        <v>0</v>
      </c>
      <c r="E81" s="5">
        <f>COUNTIF(Tabela!G:G,"*(g)M(*)_algumas frases*")</f>
        <v>0</v>
      </c>
      <c r="F81" s="115">
        <f t="shared" si="18"/>
        <v>0</v>
      </c>
      <c r="G81" s="2"/>
      <c r="H81" s="41" t="s">
        <v>881</v>
      </c>
      <c r="I81" s="42">
        <f t="shared" si="17"/>
        <v>0</v>
      </c>
      <c r="J81" s="42">
        <f t="shared" si="17"/>
        <v>0</v>
      </c>
      <c r="K81" s="42">
        <f t="shared" si="17"/>
        <v>0</v>
      </c>
      <c r="L81" s="10">
        <f t="shared" si="19"/>
        <v>0</v>
      </c>
    </row>
    <row r="82" spans="1:12" x14ac:dyDescent="0.25">
      <c r="A82" s="6" t="s">
        <v>882</v>
      </c>
      <c r="B82" s="5">
        <f>COUNTIF(Tabela!G:G,"*(g)I_parágrafo contíguo*")</f>
        <v>0</v>
      </c>
      <c r="C82" s="5">
        <f>COUNTIF(Tabela!G:G,"*(g)M_parágrafo contíguo*")</f>
        <v>0</v>
      </c>
      <c r="D82" s="5">
        <f>COUNTIF(Tabela!G:G,"*(g)(~*)M_parágrafo contíguo*") + COUNTIF(Tabela!G:G,"*(g)#M_parágrafo contíguo*") + COUNTIF(Tabela!G:G,"*(g)$M_parágrafo contíguo*") + COUNTIF(Tabela!G:G,"*(g)&amp;M_parágrafo contíguo*") + COUNTIF(Tabela!G:G,"*(g)/M_parágrafo contíguo*") + COUNTIF(Tabela!G:G,"*(g)}M_parágrafo contíguo*")</f>
        <v>0</v>
      </c>
      <c r="E82" s="5">
        <f>COUNTIF(Tabela!G:G,"*(g)M(*)_parágrafo contíguo*")</f>
        <v>0</v>
      </c>
      <c r="F82" s="115">
        <f t="shared" si="18"/>
        <v>0</v>
      </c>
      <c r="G82" s="2"/>
      <c r="H82" s="41" t="s">
        <v>882</v>
      </c>
      <c r="I82" s="42">
        <f t="shared" si="17"/>
        <v>1</v>
      </c>
      <c r="J82" s="42">
        <f t="shared" si="17"/>
        <v>1</v>
      </c>
      <c r="K82" s="42">
        <f t="shared" si="17"/>
        <v>0</v>
      </c>
      <c r="L82" s="10">
        <f t="shared" si="19"/>
        <v>2</v>
      </c>
    </row>
    <row r="83" spans="1:12" x14ac:dyDescent="0.25">
      <c r="A83" s="6" t="s">
        <v>883</v>
      </c>
      <c r="B83" s="5">
        <f>COUNTIF(Tabela!G:G,"*(g)I_alguns parágrafos*")</f>
        <v>0</v>
      </c>
      <c r="C83" s="5">
        <f>COUNTIF(Tabela!G:G,"*(g)M_alguns parágrafos*")</f>
        <v>0</v>
      </c>
      <c r="D83" s="5">
        <f>COUNTIF(Tabela!G:G,"*(g)(~*)M_alguns parágrafos*") + COUNTIF(Tabela!G:G,"*(g)#M_alguns parágrafos*") + COUNTIF(Tabela!G:G,"*(g)$M_alguns parágrafos*") + COUNTIF(Tabela!G:G,"*(g)&amp;M_alguns parágrafos*") + COUNTIF(Tabela!G:G,"*(g)/M_alguns parágrafos*") + COUNTIF(Tabela!G:G,"*(g)}M_alguns parágrafos*")</f>
        <v>0</v>
      </c>
      <c r="E83" s="5">
        <f>COUNTIF(Tabela!G:G,"*(g)M(*)_alguns parágrafos*")</f>
        <v>0</v>
      </c>
      <c r="F83" s="115">
        <f t="shared" si="18"/>
        <v>0</v>
      </c>
      <c r="G83" s="2"/>
      <c r="H83" s="41" t="s">
        <v>883</v>
      </c>
      <c r="I83" s="42">
        <f t="shared" si="17"/>
        <v>2</v>
      </c>
      <c r="J83" s="42">
        <f t="shared" si="17"/>
        <v>0</v>
      </c>
      <c r="K83" s="42">
        <f t="shared" si="17"/>
        <v>0</v>
      </c>
      <c r="L83" s="10">
        <f t="shared" si="19"/>
        <v>2</v>
      </c>
    </row>
    <row r="84" spans="1:12" ht="15.75" thickBot="1" x14ac:dyDescent="0.3">
      <c r="A84" s="88" t="s">
        <v>842</v>
      </c>
      <c r="B84" s="124">
        <f>SUM(B79:B83)</f>
        <v>25</v>
      </c>
      <c r="C84" s="124">
        <f>SUM(C79:C83)</f>
        <v>43</v>
      </c>
      <c r="D84" s="124">
        <f>SUM(D79:D83)</f>
        <v>2</v>
      </c>
      <c r="E84" s="124">
        <f>SUM(E79:E83)</f>
        <v>5</v>
      </c>
      <c r="F84" s="125">
        <f>SUM(F79:F83)</f>
        <v>75</v>
      </c>
      <c r="G84" s="2"/>
      <c r="H84" s="26" t="s">
        <v>18</v>
      </c>
      <c r="I84" s="27">
        <f t="shared" si="17"/>
        <v>44</v>
      </c>
      <c r="J84" s="27">
        <f t="shared" si="17"/>
        <v>7</v>
      </c>
      <c r="K84" s="27">
        <f t="shared" si="17"/>
        <v>13</v>
      </c>
      <c r="L84" s="117">
        <f t="shared" si="19"/>
        <v>64</v>
      </c>
    </row>
    <row r="85" spans="1:12" ht="15.75" thickBot="1" x14ac:dyDescent="0.3">
      <c r="A85" s="7" t="s">
        <v>18</v>
      </c>
      <c r="B85" s="116">
        <f>COUNTIF(Tabela!G:G,"(g)I_*")</f>
        <v>25</v>
      </c>
      <c r="C85" s="116">
        <f>COUNTIF(Tabela!G:G,"(g)M_*")</f>
        <v>43</v>
      </c>
      <c r="D85" s="116">
        <f>COUNTIF(Tabela!G:G,"(g)(~*)M_*") + COUNTIF(Tabela!G:G,"(g)#M_*") + COUNTIF(Tabela!G:G,"(g)$M_*") + COUNTIF(Tabela!G:G,"(g)&amp;M_*") + COUNTIF(Tabela!G:G,"(g)/M_*") + COUNTIF(Tabela!G:G,"(g)}M_*")</f>
        <v>2</v>
      </c>
      <c r="E85" s="116">
        <f>COUNTIF(Tabela!G:G,"(g)M(*")</f>
        <v>5</v>
      </c>
      <c r="F85" s="111">
        <f>SUM(B85:E85)</f>
        <v>75</v>
      </c>
      <c r="G85" s="9"/>
      <c r="H85" s="2"/>
      <c r="I85" s="2"/>
      <c r="J85" s="2"/>
    </row>
    <row r="86" spans="1:12" ht="15.75" thickBot="1" x14ac:dyDescent="0.3">
      <c r="A86" s="82"/>
      <c r="B86" s="2"/>
      <c r="C86" s="2"/>
      <c r="D86" s="2"/>
      <c r="E86" s="2"/>
      <c r="F86" s="2"/>
      <c r="G86" s="2"/>
      <c r="H86" s="2"/>
      <c r="I86" s="2"/>
      <c r="J86" s="2"/>
    </row>
    <row r="87" spans="1:12" ht="15.75" thickBot="1" x14ac:dyDescent="0.3">
      <c r="A87" s="83" t="s">
        <v>855</v>
      </c>
      <c r="B87" s="85"/>
      <c r="C87" s="2"/>
      <c r="D87" s="2"/>
      <c r="E87" s="2"/>
      <c r="F87" s="2"/>
      <c r="G87" s="2"/>
      <c r="H87" s="2"/>
      <c r="I87" s="2"/>
      <c r="J87" s="2"/>
    </row>
    <row r="88" spans="1:12" x14ac:dyDescent="0.25">
      <c r="A88" s="31"/>
      <c r="B88" s="15" t="s">
        <v>885</v>
      </c>
      <c r="C88" s="2"/>
      <c r="D88" s="2"/>
      <c r="E88" s="2"/>
      <c r="F88" s="2"/>
      <c r="G88" s="2"/>
      <c r="H88" s="2"/>
      <c r="I88" s="2"/>
      <c r="J88" s="2"/>
    </row>
    <row r="89" spans="1:12" x14ac:dyDescent="0.25">
      <c r="A89" s="4" t="s">
        <v>879</v>
      </c>
      <c r="B89" s="10">
        <f>COUNTIF(Tabela!G:G,"*rep_mesma frase*")</f>
        <v>1</v>
      </c>
      <c r="C89" s="2"/>
      <c r="D89" s="2"/>
      <c r="E89" s="2"/>
      <c r="F89" s="2"/>
      <c r="G89" s="2"/>
      <c r="H89" s="2"/>
      <c r="I89" s="2"/>
      <c r="J89" s="2"/>
    </row>
    <row r="90" spans="1:12" x14ac:dyDescent="0.25">
      <c r="A90" s="6" t="s">
        <v>880</v>
      </c>
      <c r="B90" s="10">
        <f>COUNTIF(Tabela!G:G,"*rep_frase contígua*")</f>
        <v>0</v>
      </c>
      <c r="C90" s="2"/>
      <c r="D90" s="2"/>
      <c r="E90" s="2"/>
      <c r="F90" s="2"/>
      <c r="G90" s="2"/>
      <c r="H90" s="2"/>
      <c r="I90" s="2"/>
      <c r="J90" s="2"/>
    </row>
    <row r="91" spans="1:12" x14ac:dyDescent="0.25">
      <c r="A91" s="6" t="s">
        <v>881</v>
      </c>
      <c r="B91" s="10">
        <f>COUNTIF(Tabela!G:G,"*rep_algumas frases*")</f>
        <v>0</v>
      </c>
      <c r="C91" s="2"/>
      <c r="D91" s="2"/>
      <c r="E91" s="2"/>
      <c r="F91" s="2"/>
      <c r="G91" s="2"/>
      <c r="H91" s="2"/>
      <c r="I91" s="2"/>
      <c r="J91" s="2"/>
    </row>
    <row r="92" spans="1:12" x14ac:dyDescent="0.25">
      <c r="A92" s="6" t="s">
        <v>882</v>
      </c>
      <c r="B92" s="10">
        <f>COUNTIF(Tabela!G:G,"*rep_parágrafo contíguo*")</f>
        <v>0</v>
      </c>
      <c r="C92" s="2"/>
      <c r="D92" s="2"/>
      <c r="E92" s="2"/>
      <c r="F92" s="2"/>
      <c r="G92" s="2"/>
      <c r="H92" s="2"/>
      <c r="I92" s="2"/>
      <c r="J92" s="2"/>
    </row>
    <row r="93" spans="1:12" x14ac:dyDescent="0.25">
      <c r="A93" s="6" t="s">
        <v>883</v>
      </c>
      <c r="B93" s="10">
        <f>COUNTIF(Tabela!G:G,"*rep_alguns parágrafos*")</f>
        <v>0</v>
      </c>
      <c r="C93" s="2"/>
      <c r="D93" s="2"/>
      <c r="E93" s="2"/>
      <c r="F93" s="2"/>
      <c r="G93" s="2"/>
      <c r="H93" s="2"/>
      <c r="I93" s="2"/>
      <c r="J93" s="2"/>
    </row>
    <row r="94" spans="1:12" ht="15.75" thickBot="1" x14ac:dyDescent="0.3">
      <c r="A94" s="7" t="s">
        <v>18</v>
      </c>
      <c r="B94" s="32">
        <f>COUNTIF(Tabela!G:G,"*rep_*")</f>
        <v>1</v>
      </c>
      <c r="C94" s="2"/>
      <c r="D94" s="2"/>
      <c r="E94" s="2"/>
      <c r="F94" s="2"/>
      <c r="G94" s="2"/>
      <c r="H94" s="2"/>
      <c r="I94" s="2"/>
      <c r="J94" s="2"/>
    </row>
    <row r="95" spans="1:12" x14ac:dyDescent="0.25">
      <c r="A95" s="2"/>
      <c r="B95" s="2"/>
    </row>
    <row r="96" spans="1:12" ht="15.75" thickBot="1" x14ac:dyDescent="0.3">
      <c r="A96" s="93" t="s">
        <v>856</v>
      </c>
      <c r="B96" s="2"/>
    </row>
    <row r="97" spans="1:8" ht="15.75" thickBot="1" x14ac:dyDescent="0.3">
      <c r="A97" s="165" t="s">
        <v>886</v>
      </c>
      <c r="B97" s="166"/>
      <c r="C97" s="166"/>
      <c r="D97" s="166"/>
      <c r="E97" s="166"/>
      <c r="F97" s="166"/>
      <c r="G97" s="57"/>
      <c r="H97" s="58"/>
    </row>
    <row r="98" spans="1:8" ht="45" x14ac:dyDescent="0.25">
      <c r="A98" s="44"/>
      <c r="B98" s="52" t="s">
        <v>887</v>
      </c>
      <c r="C98" s="52" t="s">
        <v>967</v>
      </c>
      <c r="D98" s="52" t="s">
        <v>888</v>
      </c>
      <c r="E98" s="52" t="s">
        <v>889</v>
      </c>
      <c r="F98" s="40" t="s">
        <v>848</v>
      </c>
      <c r="G98" s="40" t="s">
        <v>849</v>
      </c>
      <c r="H98" s="126" t="s">
        <v>842</v>
      </c>
    </row>
    <row r="99" spans="1:8" x14ac:dyDescent="0.25">
      <c r="A99" s="89" t="s">
        <v>879</v>
      </c>
      <c r="B99" s="5">
        <f>COUNTIF(Tabela!G:G,"cont inc_mesma frase")</f>
        <v>12</v>
      </c>
      <c r="C99" s="5">
        <f>COUNTIF(Tabela!G:G,"(*)antes_mesma frase")</f>
        <v>1</v>
      </c>
      <c r="D99" s="5">
        <f>COUNTIF(Tabela!G:G,"antes_mesma frase")</f>
        <v>0</v>
      </c>
      <c r="E99" s="5">
        <f>COUNTIF(Tabela!G:G,"mesma palavra_mesma frase")</f>
        <v>0</v>
      </c>
      <c r="F99" s="5">
        <f>COUNTIF(Tabela!G:G,"*projecção(*)_mesma frase*")</f>
        <v>12</v>
      </c>
      <c r="G99" s="5">
        <f>COUNTIF(Tabela!G:G,"*retroprojecção(*)_mesma frase*")</f>
        <v>0</v>
      </c>
      <c r="H99" s="115">
        <f t="shared" ref="H99:H103" si="20">SUM(B99:G99)</f>
        <v>25</v>
      </c>
    </row>
    <row r="100" spans="1:8" x14ac:dyDescent="0.25">
      <c r="A100" s="90" t="s">
        <v>880</v>
      </c>
      <c r="B100" s="5">
        <f>COUNTIF(Tabela!G:G,"cont inc_frase contígua")</f>
        <v>0</v>
      </c>
      <c r="C100" s="5">
        <f>COUNTIF(Tabela!G:G,"(*)antes_frase contígua")</f>
        <v>0</v>
      </c>
      <c r="D100" s="5">
        <f>COUNTIF(Tabela!G:G,"antes_frase contígua")</f>
        <v>0</v>
      </c>
      <c r="E100" s="5">
        <f>COUNTIF(Tabela!G:G,"mesma palavra_frase contígua")</f>
        <v>0</v>
      </c>
      <c r="F100" s="5">
        <f>COUNTIF(Tabela!G:G,"*projecção(*)_frase contígua*")</f>
        <v>1</v>
      </c>
      <c r="G100" s="5">
        <f>COUNTIF(Tabela!G:G,"*retroprojecção(*)_frase contígua*")</f>
        <v>0</v>
      </c>
      <c r="H100" s="115">
        <f t="shared" si="20"/>
        <v>1</v>
      </c>
    </row>
    <row r="101" spans="1:8" x14ac:dyDescent="0.25">
      <c r="A101" s="90" t="s">
        <v>881</v>
      </c>
      <c r="B101" s="5">
        <f>COUNTIF(Tabela!G:G,"cont inc_algumas frases")</f>
        <v>0</v>
      </c>
      <c r="C101" s="5">
        <f>COUNTIF(Tabela!G:G,"(*)antes_algumas frases")</f>
        <v>0</v>
      </c>
      <c r="D101" s="5">
        <f>COUNTIF(Tabela!G:G,"antes_algumas frases")</f>
        <v>0</v>
      </c>
      <c r="E101" s="5">
        <f>COUNTIF(Tabela!G:G,"mesma palavra_algumas frases")</f>
        <v>0</v>
      </c>
      <c r="F101" s="5">
        <f>COUNTIF(Tabela!G:G,"*projecção(*)_algumas frases*")</f>
        <v>0</v>
      </c>
      <c r="G101" s="5">
        <f>COUNTIF(Tabela!G:G,"*retroprojecção(*)_algumas frases*")</f>
        <v>0</v>
      </c>
      <c r="H101" s="115">
        <f t="shared" si="20"/>
        <v>0</v>
      </c>
    </row>
    <row r="102" spans="1:8" x14ac:dyDescent="0.25">
      <c r="A102" s="90" t="s">
        <v>882</v>
      </c>
      <c r="B102" s="5">
        <f>COUNTIF(Tabela!G:G,"cont inc_parágrafo contíguo")</f>
        <v>0</v>
      </c>
      <c r="C102" s="5">
        <f>COUNTIF(Tabela!G:G,"(*)antes_parágrafo contíguo")</f>
        <v>0</v>
      </c>
      <c r="D102" s="5">
        <f>COUNTIF(Tabela!G:G,"antes_parágrafo contíguo")</f>
        <v>0</v>
      </c>
      <c r="E102" s="5">
        <f>COUNTIF(Tabela!G:G,"mesma palavra_parágrafo contíguo")</f>
        <v>0</v>
      </c>
      <c r="F102" s="5">
        <f>COUNTIF(Tabela!G:G,"*projecção(*)_parágrafo contíguo*")</f>
        <v>0</v>
      </c>
      <c r="G102" s="5">
        <f>COUNTIF(Tabela!G:G,"*retroprojecção(*)_parágrafo contíguo*")</f>
        <v>0</v>
      </c>
      <c r="H102" s="115">
        <f t="shared" si="20"/>
        <v>0</v>
      </c>
    </row>
    <row r="103" spans="1:8" x14ac:dyDescent="0.25">
      <c r="A103" s="90" t="s">
        <v>883</v>
      </c>
      <c r="B103" s="5">
        <f>COUNTIF(Tabela!G:G,"cont inc_alguns parágrafos")</f>
        <v>0</v>
      </c>
      <c r="C103" s="5">
        <f>COUNTIF(Tabela!G:G,"(*)antes_alguns parágrafos")</f>
        <v>0</v>
      </c>
      <c r="D103" s="5">
        <f>COUNTIF(Tabela!G:G,"antes_alguns parágrafos")</f>
        <v>0</v>
      </c>
      <c r="E103" s="5">
        <f>COUNTIF(Tabela!G:G,"mesma palavra_alguns parágrafos*")</f>
        <v>2</v>
      </c>
      <c r="F103" s="5">
        <f>COUNTIF(Tabela!G:G,"*projecção(*)_alguns parágrafos*")</f>
        <v>1</v>
      </c>
      <c r="G103" s="5">
        <f>COUNTIF(Tabela!G:G,"*retroprojecção(*)_alguns parágrafos*")</f>
        <v>0</v>
      </c>
      <c r="H103" s="115">
        <f t="shared" si="20"/>
        <v>3</v>
      </c>
    </row>
    <row r="104" spans="1:8" x14ac:dyDescent="0.25">
      <c r="A104" s="127" t="s">
        <v>842</v>
      </c>
      <c r="B104" s="69">
        <f t="shared" ref="B104:H104" si="21">SUM(B99:B103)</f>
        <v>12</v>
      </c>
      <c r="C104" s="69">
        <f t="shared" si="21"/>
        <v>1</v>
      </c>
      <c r="D104" s="69">
        <f t="shared" si="21"/>
        <v>0</v>
      </c>
      <c r="E104" s="69">
        <f t="shared" si="21"/>
        <v>2</v>
      </c>
      <c r="F104" s="69">
        <f t="shared" si="21"/>
        <v>14</v>
      </c>
      <c r="G104" s="69">
        <f t="shared" si="21"/>
        <v>0</v>
      </c>
      <c r="H104" s="115">
        <f t="shared" si="21"/>
        <v>29</v>
      </c>
    </row>
    <row r="105" spans="1:8" ht="15.75" thickBot="1" x14ac:dyDescent="0.3">
      <c r="A105" s="7" t="s">
        <v>843</v>
      </c>
      <c r="B105" s="116">
        <f>COUNTIF(Tabela!G:G,"cont inc_*")</f>
        <v>12</v>
      </c>
      <c r="C105" s="116">
        <f>COUNTIF(Tabela!G:G,"(*)antes_*")</f>
        <v>1</v>
      </c>
      <c r="D105" s="116">
        <f>COUNTIF(Tabela!G:G,"antes_*")</f>
        <v>0</v>
      </c>
      <c r="E105" s="116">
        <f>COUNTIF(Tabela!G:G,"mesma palavra_*")</f>
        <v>2</v>
      </c>
      <c r="F105" s="116">
        <f>COUNTIF(Tabela!G:G,"*projecção(*)*")</f>
        <v>14</v>
      </c>
      <c r="G105" s="116">
        <f>COUNTIF(Tabela!G:G,"*retroprojecção(*)*")</f>
        <v>0</v>
      </c>
      <c r="H105" s="128">
        <f>SUM(B105:G105)</f>
        <v>29</v>
      </c>
    </row>
    <row r="106" spans="1:8" ht="15.75" thickBot="1" x14ac:dyDescent="0.3">
      <c r="A106" s="91"/>
      <c r="B106" s="2"/>
      <c r="C106" s="2"/>
      <c r="D106" s="2"/>
      <c r="E106" s="2"/>
      <c r="F106" s="2"/>
      <c r="G106" s="2"/>
    </row>
    <row r="107" spans="1:8" ht="15.75" thickBot="1" x14ac:dyDescent="0.3">
      <c r="A107" s="18" t="s">
        <v>966</v>
      </c>
      <c r="B107" s="43"/>
      <c r="C107" s="43"/>
      <c r="D107" s="92"/>
      <c r="E107" s="93"/>
      <c r="F107" s="2"/>
      <c r="G107" s="2"/>
    </row>
    <row r="108" spans="1:8" ht="45" x14ac:dyDescent="0.25">
      <c r="A108" s="94" t="s">
        <v>890</v>
      </c>
      <c r="B108" s="46" t="s">
        <v>891</v>
      </c>
      <c r="C108" s="95" t="s">
        <v>892</v>
      </c>
      <c r="D108" s="96" t="s">
        <v>20</v>
      </c>
      <c r="E108" s="9"/>
      <c r="F108" s="2"/>
      <c r="G108" s="2"/>
    </row>
    <row r="109" spans="1:8" ht="15.75" thickBot="1" x14ac:dyDescent="0.3">
      <c r="A109" s="26">
        <f>COUNTIF(Tabela!C:C,"*%mediata*")</f>
        <v>49</v>
      </c>
      <c r="B109" s="27">
        <f>COUNTIF(Tabela!C:C,"*»mediata*")</f>
        <v>3</v>
      </c>
      <c r="C109" s="27">
        <f>COUNTIF(Tabela!C:C,"*(ª)mediata*")</f>
        <v>42</v>
      </c>
      <c r="D109" s="32">
        <f>SUM(A109:C109)</f>
        <v>94</v>
      </c>
      <c r="E109" s="2"/>
      <c r="F109" s="2"/>
      <c r="G109" s="2"/>
    </row>
    <row r="110" spans="1:8" ht="15.75" thickBot="1" x14ac:dyDescent="0.3">
      <c r="A110" s="91"/>
      <c r="B110" s="2"/>
      <c r="C110" s="2"/>
      <c r="D110" s="2"/>
      <c r="E110" s="2"/>
      <c r="F110" s="2"/>
      <c r="G110" s="2"/>
    </row>
    <row r="111" spans="1:8" ht="15.75" thickBot="1" x14ac:dyDescent="0.3">
      <c r="A111" s="56" t="s">
        <v>965</v>
      </c>
      <c r="B111" s="57"/>
      <c r="C111" s="57"/>
      <c r="D111" s="58"/>
      <c r="E111" s="2"/>
    </row>
    <row r="112" spans="1:8" x14ac:dyDescent="0.25">
      <c r="A112" s="97" t="s">
        <v>19</v>
      </c>
      <c r="B112" s="98" t="s">
        <v>16</v>
      </c>
      <c r="C112" s="99" t="s">
        <v>17</v>
      </c>
      <c r="D112" s="100" t="s">
        <v>18</v>
      </c>
    </row>
    <row r="113" spans="1:4" x14ac:dyDescent="0.25">
      <c r="A113" s="6">
        <v>1</v>
      </c>
      <c r="B113" s="101">
        <f ca="1">COUNTIF(INDIRECT("Tabela!C"&amp;MATCH(A113,Tabela!A:A,0)&amp;":C"&amp;MATCH(A113+1,Tabela!A:A,0)-1),"*imediata*")</f>
        <v>12</v>
      </c>
      <c r="C113" s="101">
        <f ca="1">COUNTIF(INDIRECT("Tabela!C"&amp;MATCH(A113,Tabela!A:A,0)&amp;":C"&amp;MATCH(A113+1,Tabela!A:A,0)-1),"*mediata*")-B113</f>
        <v>23</v>
      </c>
      <c r="D113" s="11">
        <f ca="1">SUM(B113:C113)</f>
        <v>35</v>
      </c>
    </row>
    <row r="114" spans="1:4" x14ac:dyDescent="0.25">
      <c r="A114" s="6">
        <f>A113+1</f>
        <v>2</v>
      </c>
      <c r="B114" s="101">
        <f ca="1">COUNTIF(INDIRECT("Tabela!C"&amp;MATCH(A114,Tabela!A:A,0)&amp;":C"&amp;MATCH(A114+1,Tabela!A:A,0)-1),"*imediata*")</f>
        <v>7</v>
      </c>
      <c r="C114" s="101">
        <f ca="1">COUNTIF(INDIRECT("Tabela!C"&amp;MATCH(A114,Tabela!A:A,0)&amp;":C"&amp;MATCH(A114+1,Tabela!A:A,0)-1),"*mediata*")-B114</f>
        <v>15</v>
      </c>
      <c r="D114" s="11">
        <f ca="1">SUM(B114:C114)</f>
        <v>22</v>
      </c>
    </row>
    <row r="115" spans="1:4" x14ac:dyDescent="0.25">
      <c r="A115" s="6">
        <f t="shared" ref="A115:A155" si="22">A114+1</f>
        <v>3</v>
      </c>
      <c r="B115" s="101">
        <f ca="1">COUNTIF(INDIRECT("Tabela!C"&amp;MATCH(A115,Tabela!A:A,0)&amp;":C"&amp;MATCH(A115+1,Tabela!A:A,0)-1),"*imediata*")</f>
        <v>12</v>
      </c>
      <c r="C115" s="101">
        <f ca="1">COUNTIF(INDIRECT("Tabela!C"&amp;MATCH(A115,Tabela!A:A,0)&amp;":C"&amp;MATCH(A115+1,Tabela!A:A,0)-1),"*mediata*")-B115</f>
        <v>10</v>
      </c>
      <c r="D115" s="11">
        <f t="shared" ref="D115:D152" ca="1" si="23">SUM(B115:C115)</f>
        <v>22</v>
      </c>
    </row>
    <row r="116" spans="1:4" x14ac:dyDescent="0.25">
      <c r="A116" s="6">
        <f t="shared" si="22"/>
        <v>4</v>
      </c>
      <c r="B116" s="101">
        <f ca="1">COUNTIF(INDIRECT("Tabela!C"&amp;MATCH(A116,Tabela!A:A,0)&amp;":C"&amp;MATCH(A116+1,Tabela!A:A,0)-1),"*imediata*")</f>
        <v>9</v>
      </c>
      <c r="C116" s="101">
        <f ca="1">COUNTIF(INDIRECT("Tabela!C"&amp;MATCH(A116,Tabela!A:A,0)&amp;":C"&amp;MATCH(A116+1,Tabela!A:A,0)-1),"*mediata*")-B116</f>
        <v>10</v>
      </c>
      <c r="D116" s="11">
        <f t="shared" ca="1" si="23"/>
        <v>19</v>
      </c>
    </row>
    <row r="117" spans="1:4" x14ac:dyDescent="0.25">
      <c r="A117" s="6">
        <f t="shared" si="22"/>
        <v>5</v>
      </c>
      <c r="B117" s="101">
        <f ca="1">COUNTIF(INDIRECT("Tabela!C"&amp;MATCH(A117,Tabela!A:A,0)&amp;":C"&amp;MATCH(A117+1,Tabela!A:A,0)-1),"*imediata*")</f>
        <v>2</v>
      </c>
      <c r="C117" s="101">
        <f ca="1">COUNTIF(INDIRECT("Tabela!C"&amp;MATCH(A117,Tabela!A:A,0)&amp;":C"&amp;MATCH(A117+1,Tabela!A:A,0)-1),"*mediata*")-B117</f>
        <v>6</v>
      </c>
      <c r="D117" s="11">
        <f t="shared" ca="1" si="23"/>
        <v>8</v>
      </c>
    </row>
    <row r="118" spans="1:4" x14ac:dyDescent="0.25">
      <c r="A118" s="6">
        <f t="shared" si="22"/>
        <v>6</v>
      </c>
      <c r="B118" s="101">
        <f ca="1">COUNTIF(INDIRECT("Tabela!C"&amp;MATCH(A118,Tabela!A:A,0)&amp;":C"&amp;MATCH(A118+1,Tabela!A:A,0)-1),"*imediata*")</f>
        <v>2</v>
      </c>
      <c r="C118" s="101">
        <f ca="1">COUNTIF(INDIRECT("Tabela!C"&amp;MATCH(A118,Tabela!A:A,0)&amp;":C"&amp;MATCH(A118+1,Tabela!A:A,0)-1),"*mediata*")-B118</f>
        <v>7</v>
      </c>
      <c r="D118" s="11">
        <f t="shared" ca="1" si="23"/>
        <v>9</v>
      </c>
    </row>
    <row r="119" spans="1:4" x14ac:dyDescent="0.25">
      <c r="A119" s="6">
        <f t="shared" si="22"/>
        <v>7</v>
      </c>
      <c r="B119" s="101">
        <f ca="1">COUNTIF(INDIRECT("Tabela!C"&amp;MATCH(A119,Tabela!A:A,0)&amp;":C"&amp;MATCH(A119+1,Tabela!A:A,0)-1),"*imediata*")</f>
        <v>8</v>
      </c>
      <c r="C119" s="101">
        <f ca="1">COUNTIF(INDIRECT("Tabela!C"&amp;MATCH(A119,Tabela!A:A,0)&amp;":C"&amp;MATCH(A119+1,Tabela!A:A,0)-1),"*mediata*")-B119</f>
        <v>7</v>
      </c>
      <c r="D119" s="11">
        <f t="shared" ca="1" si="23"/>
        <v>15</v>
      </c>
    </row>
    <row r="120" spans="1:4" x14ac:dyDescent="0.25">
      <c r="A120" s="6">
        <f t="shared" si="22"/>
        <v>8</v>
      </c>
      <c r="B120" s="101">
        <f ca="1">COUNTIF(INDIRECT("Tabela!C"&amp;MATCH(A120,Tabela!A:A,0)&amp;":C"&amp;MATCH(A120+1,Tabela!A:A,0)-1),"*imediata*")</f>
        <v>15</v>
      </c>
      <c r="C120" s="101">
        <f ca="1">COUNTIF(INDIRECT("Tabela!C"&amp;MATCH(A120,Tabela!A:A,0)&amp;":C"&amp;MATCH(A120+1,Tabela!A:A,0)-1),"*mediata*")-B120</f>
        <v>11</v>
      </c>
      <c r="D120" s="11">
        <f t="shared" ca="1" si="23"/>
        <v>26</v>
      </c>
    </row>
    <row r="121" spans="1:4" x14ac:dyDescent="0.25">
      <c r="A121" s="6">
        <f t="shared" si="22"/>
        <v>9</v>
      </c>
      <c r="B121" s="101">
        <f ca="1">COUNTIF(INDIRECT("Tabela!C"&amp;MATCH(A121,Tabela!A:A,0)&amp;":C"&amp;MATCH(A121+1,Tabela!A:A,0)-1),"*imediata*")</f>
        <v>6</v>
      </c>
      <c r="C121" s="101">
        <f ca="1">COUNTIF(INDIRECT("Tabela!C"&amp;MATCH(A121,Tabela!A:A,0)&amp;":C"&amp;MATCH(A121+1,Tabela!A:A,0)-1),"*mediata*")-B121</f>
        <v>13</v>
      </c>
      <c r="D121" s="11">
        <f t="shared" ca="1" si="23"/>
        <v>19</v>
      </c>
    </row>
    <row r="122" spans="1:4" x14ac:dyDescent="0.25">
      <c r="A122" s="6">
        <f t="shared" si="22"/>
        <v>10</v>
      </c>
      <c r="B122" s="101">
        <f ca="1">COUNTIF(INDIRECT("Tabela!C"&amp;MATCH(A122,Tabela!A:A,0)&amp;":C"&amp;MATCH(A122+1,Tabela!A:A,0)-1),"*imediata*")</f>
        <v>8</v>
      </c>
      <c r="C122" s="101">
        <f ca="1">COUNTIF(INDIRECT("Tabela!C"&amp;MATCH(A122,Tabela!A:A,0)&amp;":C"&amp;MATCH(A122+1,Tabela!A:A,0)-1),"*mediata*")-B122</f>
        <v>3</v>
      </c>
      <c r="D122" s="11">
        <f t="shared" ca="1" si="23"/>
        <v>11</v>
      </c>
    </row>
    <row r="123" spans="1:4" x14ac:dyDescent="0.25">
      <c r="A123" s="6">
        <f t="shared" si="22"/>
        <v>11</v>
      </c>
      <c r="B123" s="101">
        <f ca="1">COUNTIF(INDIRECT("Tabela!C"&amp;MATCH(A123,Tabela!A:A,0)&amp;":C"&amp;MATCH(A123+1,Tabela!A:A,0)-1),"*imediata*")</f>
        <v>4</v>
      </c>
      <c r="C123" s="101">
        <f ca="1">COUNTIF(INDIRECT("Tabela!C"&amp;MATCH(A123,Tabela!A:A,0)&amp;":C"&amp;MATCH(A123+1,Tabela!A:A,0)-1),"*mediata*")-B123</f>
        <v>5</v>
      </c>
      <c r="D123" s="11">
        <f t="shared" ca="1" si="23"/>
        <v>9</v>
      </c>
    </row>
    <row r="124" spans="1:4" x14ac:dyDescent="0.25">
      <c r="A124" s="6">
        <f t="shared" si="22"/>
        <v>12</v>
      </c>
      <c r="B124" s="101">
        <f ca="1">COUNTIF(INDIRECT("Tabela!C"&amp;MATCH(A124,Tabela!A:A,0)&amp;":C"&amp;MATCH(A124+1,Tabela!A:A,0)-1),"*imediata*")</f>
        <v>5</v>
      </c>
      <c r="C124" s="101">
        <f ca="1">COUNTIF(INDIRECT("Tabela!C"&amp;MATCH(A124,Tabela!A:A,0)&amp;":C"&amp;MATCH(A124+1,Tabela!A:A,0)-1),"*mediata*")-B124</f>
        <v>7</v>
      </c>
      <c r="D124" s="11">
        <f t="shared" ca="1" si="23"/>
        <v>12</v>
      </c>
    </row>
    <row r="125" spans="1:4" x14ac:dyDescent="0.25">
      <c r="A125" s="6">
        <f t="shared" si="22"/>
        <v>13</v>
      </c>
      <c r="B125" s="101">
        <f ca="1">COUNTIF(INDIRECT("Tabela!C"&amp;MATCH(A125,Tabela!A:A,0)&amp;":C"&amp;MATCH(A125+1,Tabela!A:A,0)-1),"*imediata*")</f>
        <v>6</v>
      </c>
      <c r="C125" s="101">
        <f ca="1">COUNTIF(INDIRECT("Tabela!C"&amp;MATCH(A125,Tabela!A:A,0)&amp;":C"&amp;MATCH(A125+1,Tabela!A:A,0)-1),"*mediata*")-B125</f>
        <v>5</v>
      </c>
      <c r="D125" s="11">
        <f t="shared" ca="1" si="23"/>
        <v>11</v>
      </c>
    </row>
    <row r="126" spans="1:4" x14ac:dyDescent="0.25">
      <c r="A126" s="6">
        <f t="shared" si="22"/>
        <v>14</v>
      </c>
      <c r="B126" s="101">
        <f ca="1">COUNTIF(INDIRECT("Tabela!C"&amp;MATCH(A126,Tabela!A:A,0)&amp;":C"&amp;MATCH(A126+1,Tabela!A:A,0)-1),"*imediata*")</f>
        <v>7</v>
      </c>
      <c r="C126" s="101">
        <f ca="1">COUNTIF(INDIRECT("Tabela!C"&amp;MATCH(A126,Tabela!A:A,0)&amp;":C"&amp;MATCH(A126+1,Tabela!A:A,0)-1),"*mediata*")-B126</f>
        <v>18</v>
      </c>
      <c r="D126" s="11">
        <f t="shared" ca="1" si="23"/>
        <v>25</v>
      </c>
    </row>
    <row r="127" spans="1:4" x14ac:dyDescent="0.25">
      <c r="A127" s="6">
        <f t="shared" si="22"/>
        <v>15</v>
      </c>
      <c r="B127" s="101">
        <f ca="1">COUNTIF(INDIRECT("Tabela!C"&amp;MATCH(A127,Tabela!A:A,0)&amp;":C"&amp;MATCH(A127+1,Tabela!A:A,0)-1),"*imediata*")</f>
        <v>11</v>
      </c>
      <c r="C127" s="101">
        <f ca="1">COUNTIF(INDIRECT("Tabela!C"&amp;MATCH(A127,Tabela!A:A,0)&amp;":C"&amp;MATCH(A127+1,Tabela!A:A,0)-1),"*mediata*")-B127</f>
        <v>8</v>
      </c>
      <c r="D127" s="11">
        <f t="shared" ca="1" si="23"/>
        <v>19</v>
      </c>
    </row>
    <row r="128" spans="1:4" x14ac:dyDescent="0.25">
      <c r="A128" s="6">
        <f t="shared" si="22"/>
        <v>16</v>
      </c>
      <c r="B128" s="101">
        <f ca="1">COUNTIF(INDIRECT("Tabela!C"&amp;MATCH(A128,Tabela!A:A,0)&amp;":C"&amp;MATCH(A128+1,Tabela!A:A,0)-1),"*imediata*")</f>
        <v>10</v>
      </c>
      <c r="C128" s="101">
        <f ca="1">COUNTIF(INDIRECT("Tabela!C"&amp;MATCH(A128,Tabela!A:A,0)&amp;":C"&amp;MATCH(A128+1,Tabela!A:A,0)-1),"*mediata*")-B128</f>
        <v>10</v>
      </c>
      <c r="D128" s="11">
        <f t="shared" ca="1" si="23"/>
        <v>20</v>
      </c>
    </row>
    <row r="129" spans="1:11" x14ac:dyDescent="0.25">
      <c r="A129" s="6">
        <f t="shared" si="22"/>
        <v>17</v>
      </c>
      <c r="B129" s="101">
        <f ca="1">COUNTIF(INDIRECT("Tabela!C"&amp;MATCH(A129,Tabela!A:A,0)&amp;":C"&amp;MATCH(A129+1,Tabela!A:A,0)-1),"*imediata*")</f>
        <v>4</v>
      </c>
      <c r="C129" s="101">
        <f ca="1">COUNTIF(INDIRECT("Tabela!C"&amp;MATCH(A129,Tabela!A:A,0)&amp;":C"&amp;MATCH(A129+1,Tabela!A:A,0)-1),"*mediata*")-B129</f>
        <v>6</v>
      </c>
      <c r="D129" s="11">
        <f t="shared" ca="1" si="23"/>
        <v>10</v>
      </c>
    </row>
    <row r="130" spans="1:11" x14ac:dyDescent="0.25">
      <c r="A130" s="6">
        <f t="shared" si="22"/>
        <v>18</v>
      </c>
      <c r="B130" s="101">
        <f ca="1">COUNTIF(INDIRECT("Tabela!C"&amp;MATCH(A130,Tabela!A:A,0)&amp;":C"&amp;MATCH(A130+1,Tabela!A:A,0)-1),"*imediata*")</f>
        <v>9</v>
      </c>
      <c r="C130" s="101">
        <f ca="1">COUNTIF(INDIRECT("Tabela!C"&amp;MATCH(A130,Tabela!A:A,0)&amp;":C"&amp;MATCH(A130+1,Tabela!A:A,0)-1),"*mediata*")-B130</f>
        <v>11</v>
      </c>
      <c r="D130" s="11">
        <f t="shared" ca="1" si="23"/>
        <v>20</v>
      </c>
    </row>
    <row r="131" spans="1:11" x14ac:dyDescent="0.25">
      <c r="A131" s="6">
        <f t="shared" si="22"/>
        <v>19</v>
      </c>
      <c r="B131" s="101">
        <f ca="1">COUNTIF(INDIRECT("Tabela!C"&amp;MATCH(A131,Tabela!A:A,0)&amp;":C"&amp;MATCH(A131+1,Tabela!A:A,0)-1),"*imediata*")</f>
        <v>3</v>
      </c>
      <c r="C131" s="101">
        <f ca="1">COUNTIF(INDIRECT("Tabela!C"&amp;MATCH(A131,Tabela!A:A,0)&amp;":C"&amp;MATCH(A131+1,Tabela!A:A,0)-1),"*mediata*")-B131</f>
        <v>4</v>
      </c>
      <c r="D131" s="11">
        <f t="shared" ca="1" si="23"/>
        <v>7</v>
      </c>
    </row>
    <row r="132" spans="1:11" x14ac:dyDescent="0.25">
      <c r="A132" s="6">
        <f t="shared" si="22"/>
        <v>20</v>
      </c>
      <c r="B132" s="101">
        <f ca="1">COUNTIF(INDIRECT("Tabela!C"&amp;MATCH(A132,Tabela!A:A,0)&amp;":C"&amp;MATCH(A132+1,Tabela!A:A,0)-1),"*imediata*")</f>
        <v>10</v>
      </c>
      <c r="C132" s="101">
        <f ca="1">COUNTIF(INDIRECT("Tabela!C"&amp;MATCH(A132,Tabela!A:A,0)&amp;":C"&amp;MATCH(A132+1,Tabela!A:A,0)-1),"*mediata*")-B132</f>
        <v>14</v>
      </c>
      <c r="D132" s="11">
        <f t="shared" ca="1" si="23"/>
        <v>24</v>
      </c>
    </row>
    <row r="133" spans="1:11" x14ac:dyDescent="0.25">
      <c r="A133" s="6">
        <f t="shared" si="22"/>
        <v>21</v>
      </c>
      <c r="B133" s="101">
        <f ca="1">COUNTIF(INDIRECT("Tabela!C"&amp;MATCH(A133,Tabela!A:A,0)&amp;":C"&amp;MATCH(A133+1,Tabela!A:A,0)-1),"*imediata*")</f>
        <v>10</v>
      </c>
      <c r="C133" s="101">
        <f ca="1">COUNTIF(INDIRECT("Tabela!C"&amp;MATCH(A133,Tabela!A:A,0)&amp;":C"&amp;MATCH(A133+1,Tabela!A:A,0)-1),"*mediata*")-B133</f>
        <v>4</v>
      </c>
      <c r="D133" s="11">
        <f t="shared" ca="1" si="23"/>
        <v>14</v>
      </c>
    </row>
    <row r="134" spans="1:11" x14ac:dyDescent="0.25">
      <c r="A134" s="6">
        <f t="shared" si="22"/>
        <v>22</v>
      </c>
      <c r="B134" s="101">
        <f ca="1">COUNTIF(INDIRECT("Tabela!C"&amp;MATCH(A134,Tabela!A:A,0)&amp;":C"&amp;MATCH(A134+1,Tabela!A:A,0)-1),"*imediata*")</f>
        <v>6</v>
      </c>
      <c r="C134" s="101">
        <f ca="1">COUNTIF(INDIRECT("Tabela!C"&amp;MATCH(A134,Tabela!A:A,0)&amp;":C"&amp;MATCH(A134+1,Tabela!A:A,0)-1),"*mediata*")-B134</f>
        <v>5</v>
      </c>
      <c r="D134" s="11">
        <f t="shared" ca="1" si="23"/>
        <v>11</v>
      </c>
    </row>
    <row r="135" spans="1:11" x14ac:dyDescent="0.25">
      <c r="A135" s="6">
        <f t="shared" si="22"/>
        <v>23</v>
      </c>
      <c r="B135" s="101">
        <f ca="1">COUNTIF(INDIRECT("Tabela!C"&amp;MATCH(A135,Tabela!A:A,0)&amp;":C"&amp;MATCH(A135+1,Tabela!A:A,0)-1),"*imediata*")</f>
        <v>5</v>
      </c>
      <c r="C135" s="101">
        <f ca="1">COUNTIF(INDIRECT("Tabela!C"&amp;MATCH(A135,Tabela!A:A,0)&amp;":C"&amp;MATCH(A135+1,Tabela!A:A,0)-1),"*mediata*")-B135</f>
        <v>0</v>
      </c>
      <c r="D135" s="11">
        <f t="shared" ca="1" si="23"/>
        <v>5</v>
      </c>
    </row>
    <row r="136" spans="1:11" x14ac:dyDescent="0.25">
      <c r="A136" s="6">
        <f t="shared" si="22"/>
        <v>24</v>
      </c>
      <c r="B136" s="101">
        <f ca="1">COUNTIF(INDIRECT("Tabela!C"&amp;MATCH(A136,Tabela!A:A,0)&amp;":C"&amp;MATCH(A136+1,Tabela!A:A,0)-1),"*imediata*")</f>
        <v>3</v>
      </c>
      <c r="C136" s="101">
        <f ca="1">COUNTIF(INDIRECT("Tabela!C"&amp;MATCH(A136,Tabela!A:A,0)&amp;":C"&amp;MATCH(A136+1,Tabela!A:A,0)-1),"*mediata*")-B136</f>
        <v>0</v>
      </c>
      <c r="D136" s="11">
        <f t="shared" ca="1" si="23"/>
        <v>3</v>
      </c>
      <c r="K136" s="102"/>
    </row>
    <row r="137" spans="1:11" x14ac:dyDescent="0.25">
      <c r="A137" s="6">
        <f t="shared" si="22"/>
        <v>25</v>
      </c>
      <c r="B137" s="101">
        <f ca="1">COUNTIF(INDIRECT("Tabela!C"&amp;MATCH(A137,Tabela!A:A,0)&amp;":C"&amp;MATCH(A137+1,Tabela!A:A,0)-1),"*imediata*")</f>
        <v>6</v>
      </c>
      <c r="C137" s="101">
        <f ca="1">COUNTIF(INDIRECT("Tabela!C"&amp;MATCH(A137,Tabela!A:A,0)&amp;":C"&amp;MATCH(A137+1,Tabela!A:A,0)-1),"*mediata*")-B137</f>
        <v>4</v>
      </c>
      <c r="D137" s="11">
        <f t="shared" ca="1" si="23"/>
        <v>10</v>
      </c>
    </row>
    <row r="138" spans="1:11" x14ac:dyDescent="0.25">
      <c r="A138" s="6">
        <f t="shared" si="22"/>
        <v>26</v>
      </c>
      <c r="B138" s="101">
        <f ca="1">COUNTIF(INDIRECT("Tabela!C"&amp;MATCH(A138,Tabela!A:A,0)&amp;":C"&amp;MATCH(A138+1,Tabela!A:A,0)-1),"*imediata*")</f>
        <v>6</v>
      </c>
      <c r="C138" s="101">
        <f ca="1">COUNTIF(INDIRECT("Tabela!C"&amp;MATCH(A138,Tabela!A:A,0)&amp;":C"&amp;MATCH(A138+1,Tabela!A:A,0)-1),"*mediata*")-B138</f>
        <v>8</v>
      </c>
      <c r="D138" s="11">
        <f t="shared" ca="1" si="23"/>
        <v>14</v>
      </c>
    </row>
    <row r="139" spans="1:11" x14ac:dyDescent="0.25">
      <c r="A139" s="6">
        <f t="shared" si="22"/>
        <v>27</v>
      </c>
      <c r="B139" s="101">
        <f ca="1">COUNTIF(INDIRECT("Tabela!C"&amp;MATCH(A139,Tabela!A:A,0)&amp;":C"&amp;MATCH(A139+1,Tabela!A:A,0)-1),"*imediata*")</f>
        <v>11</v>
      </c>
      <c r="C139" s="101">
        <f ca="1">COUNTIF(INDIRECT("Tabela!C"&amp;MATCH(A139,Tabela!A:A,0)&amp;":C"&amp;MATCH(A139+1,Tabela!A:A,0)-1),"*mediata*")-B139</f>
        <v>8</v>
      </c>
      <c r="D139" s="11">
        <f t="shared" ca="1" si="23"/>
        <v>19</v>
      </c>
    </row>
    <row r="140" spans="1:11" x14ac:dyDescent="0.25">
      <c r="A140" s="6">
        <f t="shared" si="22"/>
        <v>28</v>
      </c>
      <c r="B140" s="101">
        <f ca="1">COUNTIF(INDIRECT("Tabela!C"&amp;MATCH(A140,Tabela!A:A,0)&amp;":C"&amp;MATCH(A140+1,Tabela!A:A,0)-1),"*imediata*")</f>
        <v>14</v>
      </c>
      <c r="C140" s="101">
        <f ca="1">COUNTIF(INDIRECT("Tabela!C"&amp;MATCH(A140,Tabela!A:A,0)&amp;":C"&amp;MATCH(A140+1,Tabela!A:A,0)-1),"*mediata*")-B140</f>
        <v>7</v>
      </c>
      <c r="D140" s="11">
        <f t="shared" ca="1" si="23"/>
        <v>21</v>
      </c>
    </row>
    <row r="141" spans="1:11" x14ac:dyDescent="0.25">
      <c r="A141" s="6">
        <f t="shared" si="22"/>
        <v>29</v>
      </c>
      <c r="B141" s="101">
        <f ca="1">COUNTIF(INDIRECT("Tabela!C"&amp;MATCH(A141,Tabela!A:A,0)&amp;":C"&amp;MATCH(A141+1,Tabela!A:A,0)-1),"*imediata*")</f>
        <v>13</v>
      </c>
      <c r="C141" s="101">
        <f ca="1">COUNTIF(INDIRECT("Tabela!C"&amp;MATCH(A141,Tabela!A:A,0)&amp;":C"&amp;MATCH(A141+1,Tabela!A:A,0)-1),"*mediata*")-B141</f>
        <v>8</v>
      </c>
      <c r="D141" s="11">
        <f t="shared" ca="1" si="23"/>
        <v>21</v>
      </c>
    </row>
    <row r="142" spans="1:11" x14ac:dyDescent="0.25">
      <c r="A142" s="6">
        <f t="shared" si="22"/>
        <v>30</v>
      </c>
      <c r="B142" s="101">
        <f ca="1">COUNTIF(INDIRECT("Tabela!C"&amp;MATCH(A142,Tabela!A:A,0)&amp;":C"&amp;MATCH(A142+1,Tabela!A:A,0)-1),"*imediata*")</f>
        <v>14</v>
      </c>
      <c r="C142" s="101">
        <f ca="1">COUNTIF(INDIRECT("Tabela!C"&amp;MATCH(A142,Tabela!A:A,0)&amp;":C"&amp;MATCH(A142+1,Tabela!A:A,0)-1),"*mediata*")-B142</f>
        <v>7</v>
      </c>
      <c r="D142" s="11">
        <f t="shared" ca="1" si="23"/>
        <v>21</v>
      </c>
    </row>
    <row r="143" spans="1:11" x14ac:dyDescent="0.25">
      <c r="A143" s="6">
        <f t="shared" si="22"/>
        <v>31</v>
      </c>
      <c r="B143" s="101">
        <f ca="1">COUNTIF(INDIRECT("Tabela!C"&amp;MATCH(A143,Tabela!A:A,0)&amp;":C"&amp;MATCH(A143+1,Tabela!A:A,0)-1),"*imediata*")</f>
        <v>4</v>
      </c>
      <c r="C143" s="101">
        <f ca="1">COUNTIF(INDIRECT("Tabela!C"&amp;MATCH(A143,Tabela!A:A,0)&amp;":C"&amp;MATCH(A143+1,Tabela!A:A,0)-1),"*mediata*")-B143</f>
        <v>3</v>
      </c>
      <c r="D143" s="11">
        <f t="shared" ca="1" si="23"/>
        <v>7</v>
      </c>
    </row>
    <row r="144" spans="1:11" x14ac:dyDescent="0.25">
      <c r="A144" s="6">
        <f t="shared" si="22"/>
        <v>32</v>
      </c>
      <c r="B144" s="101">
        <f ca="1">COUNTIF(INDIRECT("Tabela!C"&amp;MATCH(A144,Tabela!A:A,0)&amp;":C"&amp;MATCH(A144+1,Tabela!A:A,0)-1),"*imediata*")</f>
        <v>4</v>
      </c>
      <c r="C144" s="101">
        <f ca="1">COUNTIF(INDIRECT("Tabela!C"&amp;MATCH(A144,Tabela!A:A,0)&amp;":C"&amp;MATCH(A144+1,Tabela!A:A,0)-1),"*mediata*")-B144</f>
        <v>5</v>
      </c>
      <c r="D144" s="11">
        <f t="shared" ca="1" si="23"/>
        <v>9</v>
      </c>
    </row>
    <row r="145" spans="1:4" x14ac:dyDescent="0.25">
      <c r="A145" s="6">
        <f t="shared" si="22"/>
        <v>33</v>
      </c>
      <c r="B145" s="101">
        <f ca="1">COUNTIF(INDIRECT("Tabela!C"&amp;MATCH(A145,Tabela!A:A,0)&amp;":C"&amp;MATCH(A145+1,Tabela!A:A,0)-1),"*imediata*")</f>
        <v>6</v>
      </c>
      <c r="C145" s="101">
        <f ca="1">COUNTIF(INDIRECT("Tabela!C"&amp;MATCH(A145,Tabela!A:A,0)&amp;":C"&amp;MATCH(A145+1,Tabela!A:A,0)-1),"*mediata*")-B145</f>
        <v>3</v>
      </c>
      <c r="D145" s="11">
        <f t="shared" ca="1" si="23"/>
        <v>9</v>
      </c>
    </row>
    <row r="146" spans="1:4" x14ac:dyDescent="0.25">
      <c r="A146" s="6">
        <f t="shared" si="22"/>
        <v>34</v>
      </c>
      <c r="B146" s="101">
        <f ca="1">COUNTIF(INDIRECT("Tabela!C"&amp;MATCH(A146,Tabela!A:A,0)&amp;":C"&amp;MATCH(A146+1,Tabela!A:A,0)-1),"*imediata*")</f>
        <v>12</v>
      </c>
      <c r="C146" s="101">
        <f ca="1">COUNTIF(INDIRECT("Tabela!C"&amp;MATCH(A146,Tabela!A:A,0)&amp;":C"&amp;MATCH(A146+1,Tabela!A:A,0)-1),"*mediata*")-B146</f>
        <v>7</v>
      </c>
      <c r="D146" s="11">
        <f t="shared" ca="1" si="23"/>
        <v>19</v>
      </c>
    </row>
    <row r="147" spans="1:4" x14ac:dyDescent="0.25">
      <c r="A147" s="6">
        <f t="shared" si="22"/>
        <v>35</v>
      </c>
      <c r="B147" s="101">
        <f ca="1">COUNTIF(INDIRECT("Tabela!C"&amp;MATCH(A147,Tabela!A:A,0)&amp;":C"&amp;MATCH(A147+1,Tabela!A:A,0)-1),"*imediata*")</f>
        <v>18</v>
      </c>
      <c r="C147" s="101">
        <f ca="1">COUNTIF(INDIRECT("Tabela!C"&amp;MATCH(A147,Tabela!A:A,0)&amp;":C"&amp;MATCH(A147+1,Tabela!A:A,0)-1),"*mediata*")-B147</f>
        <v>12</v>
      </c>
      <c r="D147" s="11">
        <f t="shared" ca="1" si="23"/>
        <v>30</v>
      </c>
    </row>
    <row r="148" spans="1:4" x14ac:dyDescent="0.25">
      <c r="A148" s="6">
        <f t="shared" si="22"/>
        <v>36</v>
      </c>
      <c r="B148" s="101">
        <f ca="1">COUNTIF(INDIRECT("Tabela!C"&amp;MATCH(A148,Tabela!A:A,0)&amp;":C"&amp;MATCH(A148+1,Tabela!A:A,0)-1),"*imediata*")</f>
        <v>11</v>
      </c>
      <c r="C148" s="101">
        <f ca="1">COUNTIF(INDIRECT("Tabela!C"&amp;MATCH(A148,Tabela!A:A,0)&amp;":C"&amp;MATCH(A148+1,Tabela!A:A,0)-1),"*mediata*")-B148</f>
        <v>5</v>
      </c>
      <c r="D148" s="11">
        <f t="shared" ca="1" si="23"/>
        <v>16</v>
      </c>
    </row>
    <row r="149" spans="1:4" x14ac:dyDescent="0.25">
      <c r="A149" s="6">
        <f t="shared" si="22"/>
        <v>37</v>
      </c>
      <c r="B149" s="101">
        <f ca="1">COUNTIF(INDIRECT("Tabela!C"&amp;MATCH(A149,Tabela!A:A,0)&amp;":C"&amp;MATCH(A149+1,Tabela!A:A,0)-1),"*imediata*")</f>
        <v>11</v>
      </c>
      <c r="C149" s="101">
        <f ca="1">COUNTIF(INDIRECT("Tabela!C"&amp;MATCH(A149,Tabela!A:A,0)&amp;":C"&amp;MATCH(A149+1,Tabela!A:A,0)-1),"*mediata*")-B149</f>
        <v>9</v>
      </c>
      <c r="D149" s="11">
        <f t="shared" ca="1" si="23"/>
        <v>20</v>
      </c>
    </row>
    <row r="150" spans="1:4" x14ac:dyDescent="0.25">
      <c r="A150" s="6">
        <f t="shared" si="22"/>
        <v>38</v>
      </c>
      <c r="B150" s="101">
        <f ca="1">COUNTIF(INDIRECT("Tabela!C"&amp;MATCH(A150,Tabela!A:A,0)&amp;":C"&amp;MATCH(A150+1,Tabela!A:A,0)-1),"*imediata*")</f>
        <v>12</v>
      </c>
      <c r="C150" s="101">
        <f ca="1">COUNTIF(INDIRECT("Tabela!C"&amp;MATCH(A150,Tabela!A:A,0)&amp;":C"&amp;MATCH(A150+1,Tabela!A:A,0)-1),"*mediata*")-B150</f>
        <v>3</v>
      </c>
      <c r="D150" s="11">
        <f t="shared" ca="1" si="23"/>
        <v>15</v>
      </c>
    </row>
    <row r="151" spans="1:4" x14ac:dyDescent="0.25">
      <c r="A151" s="6">
        <f t="shared" si="22"/>
        <v>39</v>
      </c>
      <c r="B151" s="101">
        <f ca="1">COUNTIF(INDIRECT("Tabela!C"&amp;MATCH(A151,Tabela!A:A,0)&amp;":C"&amp;MATCH(A151+1,Tabela!A:A,0)-1),"*imediata*")</f>
        <v>4</v>
      </c>
      <c r="C151" s="101">
        <f ca="1">COUNTIF(INDIRECT("Tabela!C"&amp;MATCH(A151,Tabela!A:A,0)&amp;":C"&amp;MATCH(A151+1,Tabela!A:A,0)-1),"*mediata*")-B151</f>
        <v>4</v>
      </c>
      <c r="D151" s="11">
        <f t="shared" ca="1" si="23"/>
        <v>8</v>
      </c>
    </row>
    <row r="152" spans="1:4" x14ac:dyDescent="0.25">
      <c r="A152" s="6">
        <f t="shared" si="22"/>
        <v>40</v>
      </c>
      <c r="B152" s="101">
        <f ca="1">COUNTIF(INDIRECT("Tabela!C"&amp;MATCH(A152,Tabela!A:A,0)&amp;":C"&amp;MATCH(A152+1,Tabela!A:A,0)-1),"*imediata*")</f>
        <v>4</v>
      </c>
      <c r="C152" s="101">
        <f ca="1">COUNTIF(INDIRECT("Tabela!C"&amp;MATCH(A152,Tabela!A:A,0)&amp;":C"&amp;MATCH(A152+1,Tabela!A:A,0)-1),"*mediata*")-B152</f>
        <v>2</v>
      </c>
      <c r="D152" s="11">
        <f t="shared" ca="1" si="23"/>
        <v>6</v>
      </c>
    </row>
    <row r="153" spans="1:4" x14ac:dyDescent="0.25">
      <c r="A153" s="6">
        <f t="shared" si="22"/>
        <v>41</v>
      </c>
      <c r="B153" s="101"/>
      <c r="C153" s="101"/>
      <c r="D153" s="11"/>
    </row>
    <row r="154" spans="1:4" x14ac:dyDescent="0.25">
      <c r="A154" s="6">
        <f t="shared" si="22"/>
        <v>42</v>
      </c>
      <c r="B154" s="101"/>
      <c r="C154" s="101"/>
      <c r="D154" s="11"/>
    </row>
    <row r="155" spans="1:4" x14ac:dyDescent="0.25">
      <c r="A155" s="6">
        <f t="shared" si="22"/>
        <v>43</v>
      </c>
      <c r="B155" s="101"/>
      <c r="C155" s="101"/>
      <c r="D155" s="11"/>
    </row>
    <row r="156" spans="1:4" x14ac:dyDescent="0.25">
      <c r="A156" s="6">
        <f>A155+1</f>
        <v>44</v>
      </c>
      <c r="B156" s="101"/>
      <c r="C156" s="101"/>
      <c r="D156" s="11"/>
    </row>
    <row r="157" spans="1:4" x14ac:dyDescent="0.25">
      <c r="A157" s="6">
        <f>A156+1</f>
        <v>45</v>
      </c>
      <c r="B157" s="101"/>
      <c r="C157" s="101"/>
      <c r="D157" s="11"/>
    </row>
    <row r="158" spans="1:4" ht="15.75" thickBot="1" x14ac:dyDescent="0.3">
      <c r="A158" s="7">
        <f>A157+1</f>
        <v>46</v>
      </c>
      <c r="B158" s="103"/>
      <c r="C158" s="103"/>
      <c r="D158" s="13"/>
    </row>
    <row r="160" spans="1:4" x14ac:dyDescent="0.25">
      <c r="D160" s="102"/>
    </row>
  </sheetData>
  <mergeCells count="5">
    <mergeCell ref="A97:F97"/>
    <mergeCell ref="C67:F67"/>
    <mergeCell ref="G67:J67"/>
    <mergeCell ref="K67:N67"/>
    <mergeCell ref="H77:L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Tabela</vt:lpstr>
      <vt:lpstr>Contagens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2015-08-28T12:06:31Z</dcterms:created>
  <dcterms:modified xsi:type="dcterms:W3CDTF">2016-09-29T16:12:35Z</dcterms:modified>
</cp:coreProperties>
</file>