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3615" yWindow="1395" windowWidth="12795" windowHeight="7635"/>
  </bookViews>
  <sheets>
    <sheet name="Tabela" sheetId="1" r:id="rId1"/>
    <sheet name="Contagens" sheetId="2" r:id="rId2"/>
  </sheets>
  <calcPr calcId="145621"/>
</workbook>
</file>

<file path=xl/calcChain.xml><?xml version="1.0" encoding="utf-8"?>
<calcChain xmlns="http://schemas.openxmlformats.org/spreadsheetml/2006/main">
  <c r="Q60" i="2" l="1"/>
  <c r="P60" i="2"/>
  <c r="O60" i="2"/>
  <c r="O59" i="2" s="1"/>
  <c r="O61" i="2" s="1"/>
  <c r="N60" i="2"/>
  <c r="N59" i="2" s="1"/>
  <c r="M60" i="2"/>
  <c r="M59" i="2" s="1"/>
  <c r="L60" i="2"/>
  <c r="K60" i="2"/>
  <c r="K59" i="2" s="1"/>
  <c r="J60" i="2"/>
  <c r="J59" i="2" s="1"/>
  <c r="I60" i="2"/>
  <c r="I59" i="2" s="1"/>
  <c r="H60" i="2"/>
  <c r="H59" i="2" s="1"/>
  <c r="Q59" i="2"/>
  <c r="P59" i="2"/>
  <c r="L59" i="2"/>
  <c r="Q58" i="2"/>
  <c r="P58" i="2"/>
  <c r="O58" i="2"/>
  <c r="N58" i="2"/>
  <c r="M58" i="2"/>
  <c r="M61" i="2" s="1"/>
  <c r="L58" i="2"/>
  <c r="L61" i="2" s="1"/>
  <c r="K58" i="2"/>
  <c r="J58" i="2"/>
  <c r="J61" i="2" s="1"/>
  <c r="I58" i="2"/>
  <c r="H58" i="2"/>
  <c r="P61" i="2"/>
  <c r="K61" i="2" l="1"/>
  <c r="H61" i="2"/>
  <c r="R60" i="2"/>
  <c r="Q61" i="2"/>
  <c r="K62" i="2"/>
  <c r="R58" i="2"/>
  <c r="P62" i="2"/>
  <c r="N61" i="2"/>
  <c r="R59" i="2"/>
  <c r="I61" i="2"/>
  <c r="R61" i="2" l="1"/>
  <c r="I29" i="2"/>
  <c r="J29" i="2" s="1"/>
  <c r="K29" i="2" s="1"/>
  <c r="I28" i="2"/>
  <c r="J28" i="2" s="1"/>
  <c r="K28" i="2" s="1"/>
  <c r="E28" i="2"/>
  <c r="E27" i="2" s="1"/>
  <c r="D28" i="2"/>
  <c r="D27" i="2" s="1"/>
  <c r="C28" i="2"/>
  <c r="C27" i="2" s="1"/>
  <c r="B28" i="2"/>
  <c r="B27" i="2" s="1"/>
  <c r="I27" i="2"/>
  <c r="J27" i="2" s="1"/>
  <c r="K27" i="2" s="1"/>
  <c r="I26" i="2"/>
  <c r="J26" i="2" s="1"/>
  <c r="K26" i="2" s="1"/>
  <c r="E26" i="2"/>
  <c r="D26" i="2"/>
  <c r="C26" i="2"/>
  <c r="B26" i="2"/>
  <c r="E29" i="2" l="1"/>
  <c r="C29" i="2"/>
  <c r="D29" i="2"/>
  <c r="F28" i="2"/>
  <c r="F26" i="2"/>
  <c r="F27" i="2"/>
  <c r="H53" i="2"/>
  <c r="H52" i="2" s="1"/>
  <c r="G53" i="2"/>
  <c r="F53" i="2"/>
  <c r="D53" i="2"/>
  <c r="D52" i="2" s="1"/>
  <c r="C53" i="2"/>
  <c r="I51" i="2"/>
  <c r="H51" i="2"/>
  <c r="G51" i="2"/>
  <c r="D51" i="2"/>
  <c r="C51" i="2"/>
  <c r="G50" i="2"/>
  <c r="G49" i="2" s="1"/>
  <c r="G52" i="2" s="1"/>
  <c r="F50" i="2"/>
  <c r="F49" i="2" s="1"/>
  <c r="D50" i="2"/>
  <c r="D49" i="2" s="1"/>
  <c r="C50" i="2"/>
  <c r="B50" i="2"/>
  <c r="B49" i="2" s="1"/>
  <c r="J49" i="2"/>
  <c r="J54" i="2" s="1"/>
  <c r="I49" i="2"/>
  <c r="C49" i="2"/>
  <c r="D54" i="2" l="1"/>
  <c r="B53" i="2"/>
  <c r="E53" i="2" s="1"/>
  <c r="K53" i="2" s="1"/>
  <c r="F52" i="2"/>
  <c r="E50" i="2"/>
  <c r="K50" i="2" s="1"/>
  <c r="B51" i="2"/>
  <c r="E51" i="2" s="1"/>
  <c r="K51" i="2" s="1"/>
  <c r="I54" i="2"/>
  <c r="B29" i="2"/>
  <c r="F29" i="2" s="1"/>
  <c r="C52" i="2"/>
  <c r="F51" i="2"/>
  <c r="H54" i="2"/>
  <c r="G54" i="2"/>
  <c r="G17" i="2"/>
  <c r="E17" i="2"/>
  <c r="D17" i="2"/>
  <c r="C17" i="2"/>
  <c r="B17" i="2"/>
  <c r="G15" i="2"/>
  <c r="E15" i="2"/>
  <c r="D15" i="2"/>
  <c r="C15" i="2"/>
  <c r="B15" i="2"/>
  <c r="F54" i="2" l="1"/>
  <c r="B52" i="2"/>
  <c r="E52" i="2" s="1"/>
  <c r="K52" i="2" s="1"/>
  <c r="C54" i="2"/>
  <c r="E49" i="2"/>
  <c r="F17" i="2"/>
  <c r="F15" i="2"/>
  <c r="D45" i="2"/>
  <c r="C45" i="2"/>
  <c r="D43" i="2"/>
  <c r="D42" i="2" s="1"/>
  <c r="C43" i="2"/>
  <c r="C42" i="2" s="1"/>
  <c r="F41" i="2"/>
  <c r="F45" i="2" s="1"/>
  <c r="D41" i="2"/>
  <c r="C41" i="2"/>
  <c r="B41" i="2" l="1"/>
  <c r="E41" i="2" s="1"/>
  <c r="B45" i="2"/>
  <c r="B54" i="2"/>
  <c r="E54" i="2"/>
  <c r="K54" i="2" s="1"/>
  <c r="K49" i="2"/>
  <c r="B43" i="2"/>
  <c r="E43" i="2" s="1"/>
  <c r="D44" i="2"/>
  <c r="F35" i="2"/>
  <c r="E35" i="2"/>
  <c r="D35" i="2"/>
  <c r="C35" i="2"/>
  <c r="C34" i="2" s="1"/>
  <c r="B35" i="2"/>
  <c r="B34" i="2" s="1"/>
  <c r="F34" i="2"/>
  <c r="E34" i="2"/>
  <c r="F33" i="2"/>
  <c r="E33" i="2"/>
  <c r="D33" i="2"/>
  <c r="C33" i="2"/>
  <c r="B33" i="2"/>
  <c r="B42" i="2" l="1"/>
  <c r="C44" i="2"/>
  <c r="G35" i="2"/>
  <c r="E36" i="2"/>
  <c r="D34" i="2"/>
  <c r="D36" i="2" s="1"/>
  <c r="F36" i="2"/>
  <c r="C36" i="2"/>
  <c r="G33" i="2"/>
  <c r="B36" i="2"/>
  <c r="B99" i="2"/>
  <c r="E42" i="2" l="1"/>
  <c r="E45" i="2" s="1"/>
  <c r="B44" i="2"/>
  <c r="E44" i="2" s="1"/>
  <c r="G34" i="2"/>
  <c r="G36" i="2"/>
  <c r="C109" i="2" l="1"/>
  <c r="B109" i="2"/>
  <c r="A109" i="2"/>
  <c r="G105" i="2"/>
  <c r="F105" i="2"/>
  <c r="E105" i="2"/>
  <c r="D105" i="2"/>
  <c r="C105" i="2"/>
  <c r="B105" i="2"/>
  <c r="G103" i="2"/>
  <c r="F103" i="2"/>
  <c r="E103" i="2"/>
  <c r="D103" i="2"/>
  <c r="C103" i="2"/>
  <c r="B103" i="2"/>
  <c r="G102" i="2"/>
  <c r="F102" i="2"/>
  <c r="E102" i="2"/>
  <c r="D102" i="2"/>
  <c r="C102" i="2"/>
  <c r="B102" i="2"/>
  <c r="G101" i="2"/>
  <c r="F101" i="2"/>
  <c r="E101" i="2"/>
  <c r="D101" i="2"/>
  <c r="C101" i="2"/>
  <c r="B101" i="2"/>
  <c r="G100" i="2"/>
  <c r="F100" i="2"/>
  <c r="E100" i="2"/>
  <c r="D100" i="2"/>
  <c r="C100" i="2"/>
  <c r="B100" i="2"/>
  <c r="G99" i="2"/>
  <c r="F99" i="2"/>
  <c r="E99" i="2"/>
  <c r="D99" i="2"/>
  <c r="C99" i="2"/>
  <c r="B94" i="2"/>
  <c r="B93" i="2"/>
  <c r="B92" i="2"/>
  <c r="B91" i="2"/>
  <c r="B90" i="2"/>
  <c r="B89" i="2"/>
  <c r="E85" i="2"/>
  <c r="D85" i="2"/>
  <c r="C85" i="2"/>
  <c r="B85" i="2"/>
  <c r="E83" i="2"/>
  <c r="D83" i="2"/>
  <c r="C83" i="2"/>
  <c r="B83" i="2"/>
  <c r="E82" i="2"/>
  <c r="D82" i="2"/>
  <c r="C82" i="2"/>
  <c r="B82" i="2"/>
  <c r="E81" i="2"/>
  <c r="D81" i="2"/>
  <c r="C81" i="2"/>
  <c r="B81" i="2"/>
  <c r="E80" i="2"/>
  <c r="D80" i="2"/>
  <c r="C80" i="2"/>
  <c r="B80" i="2"/>
  <c r="E79" i="2"/>
  <c r="E84" i="2" s="1"/>
  <c r="D79" i="2"/>
  <c r="D84" i="2" s="1"/>
  <c r="C79" i="2"/>
  <c r="B79" i="2"/>
  <c r="B84" i="2" s="1"/>
  <c r="M75" i="2"/>
  <c r="I75" i="2" s="1"/>
  <c r="L75" i="2"/>
  <c r="H75" i="2" s="1"/>
  <c r="K75" i="2"/>
  <c r="G75" i="2" s="1"/>
  <c r="E75" i="2"/>
  <c r="D75" i="2"/>
  <c r="C75" i="2"/>
  <c r="M73" i="2"/>
  <c r="I73" i="2" s="1"/>
  <c r="L73" i="2"/>
  <c r="H73" i="2" s="1"/>
  <c r="K73" i="2"/>
  <c r="G73" i="2" s="1"/>
  <c r="E73" i="2"/>
  <c r="D73" i="2"/>
  <c r="J83" i="2" s="1"/>
  <c r="C73" i="2"/>
  <c r="M72" i="2"/>
  <c r="I72" i="2" s="1"/>
  <c r="L72" i="2"/>
  <c r="K72" i="2"/>
  <c r="G72" i="2" s="1"/>
  <c r="E72" i="2"/>
  <c r="D72" i="2"/>
  <c r="C72" i="2"/>
  <c r="M71" i="2"/>
  <c r="L71" i="2"/>
  <c r="H71" i="2" s="1"/>
  <c r="K71" i="2"/>
  <c r="G71" i="2" s="1"/>
  <c r="E71" i="2"/>
  <c r="D71" i="2"/>
  <c r="J81" i="2" s="1"/>
  <c r="C71" i="2"/>
  <c r="M70" i="2"/>
  <c r="I70" i="2" s="1"/>
  <c r="L70" i="2"/>
  <c r="H70" i="2" s="1"/>
  <c r="K70" i="2"/>
  <c r="G70" i="2" s="1"/>
  <c r="E70" i="2"/>
  <c r="D70" i="2"/>
  <c r="C70" i="2"/>
  <c r="M69" i="2"/>
  <c r="I69" i="2" s="1"/>
  <c r="L69" i="2"/>
  <c r="H69" i="2" s="1"/>
  <c r="K69" i="2"/>
  <c r="G69" i="2" s="1"/>
  <c r="E69" i="2"/>
  <c r="D69" i="2"/>
  <c r="J79" i="2" s="1"/>
  <c r="C69" i="2"/>
  <c r="D60" i="2"/>
  <c r="D59" i="2" s="1"/>
  <c r="C60" i="2"/>
  <c r="B60" i="2"/>
  <c r="B59" i="2" s="1"/>
  <c r="D58" i="2"/>
  <c r="C58" i="2"/>
  <c r="B58" i="2"/>
  <c r="G22" i="2"/>
  <c r="G16" i="2" s="1"/>
  <c r="G18" i="2" s="1"/>
  <c r="E22" i="2"/>
  <c r="E16" i="2" s="1"/>
  <c r="E18" i="2" s="1"/>
  <c r="D22" i="2"/>
  <c r="D16" i="2" s="1"/>
  <c r="D18" i="2" s="1"/>
  <c r="C22" i="2"/>
  <c r="C16" i="2" s="1"/>
  <c r="C18" i="2" s="1"/>
  <c r="B22" i="2"/>
  <c r="B16" i="2" s="1"/>
  <c r="C11" i="2"/>
  <c r="A11" i="2"/>
  <c r="F7" i="2"/>
  <c r="E7" i="2"/>
  <c r="D7" i="2"/>
  <c r="C7" i="2"/>
  <c r="B7" i="2"/>
  <c r="A7" i="2"/>
  <c r="D3" i="2"/>
  <c r="S61" i="2" s="1"/>
  <c r="C3" i="2"/>
  <c r="S60" i="2" s="1"/>
  <c r="A3" i="2"/>
  <c r="S58" i="2" s="1"/>
  <c r="A114" i="2"/>
  <c r="B114" i="2"/>
  <c r="B113" i="2"/>
  <c r="I82" i="2" l="1"/>
  <c r="J80" i="2"/>
  <c r="I79" i="2"/>
  <c r="L79" i="2" s="1"/>
  <c r="K80" i="2"/>
  <c r="I81" i="2"/>
  <c r="K82" i="2"/>
  <c r="I83" i="2"/>
  <c r="L83" i="2" s="1"/>
  <c r="I80" i="2"/>
  <c r="L80" i="2" s="1"/>
  <c r="K83" i="2"/>
  <c r="K79" i="2"/>
  <c r="F16" i="2"/>
  <c r="F18" i="2" s="1"/>
  <c r="B18" i="2"/>
  <c r="F72" i="2"/>
  <c r="F104" i="2"/>
  <c r="F73" i="2"/>
  <c r="F75" i="2"/>
  <c r="E74" i="2"/>
  <c r="D61" i="2"/>
  <c r="E104" i="2"/>
  <c r="C104" i="2"/>
  <c r="G104" i="2"/>
  <c r="B11" i="2"/>
  <c r="D11" i="2" s="1"/>
  <c r="F71" i="2"/>
  <c r="F69" i="2"/>
  <c r="G74" i="2"/>
  <c r="D74" i="2"/>
  <c r="F82" i="2"/>
  <c r="F83" i="2"/>
  <c r="H100" i="2"/>
  <c r="H101" i="2"/>
  <c r="H102" i="2"/>
  <c r="H103" i="2"/>
  <c r="N71" i="2"/>
  <c r="I71" i="2"/>
  <c r="I74" i="2" s="1"/>
  <c r="B61" i="2"/>
  <c r="N72" i="2"/>
  <c r="H72" i="2"/>
  <c r="H74" i="2" s="1"/>
  <c r="L74" i="2"/>
  <c r="J75" i="2"/>
  <c r="F22" i="2"/>
  <c r="C59" i="2"/>
  <c r="C61" i="2" s="1"/>
  <c r="E60" i="2"/>
  <c r="N74" i="2"/>
  <c r="N70" i="2"/>
  <c r="J73" i="2"/>
  <c r="N75" i="2"/>
  <c r="H105" i="2"/>
  <c r="M74" i="2"/>
  <c r="J70" i="2"/>
  <c r="F79" i="2"/>
  <c r="B104" i="2"/>
  <c r="G7" i="2"/>
  <c r="B3" i="2" s="1"/>
  <c r="S59" i="2" s="1"/>
  <c r="E58" i="2"/>
  <c r="F70" i="2"/>
  <c r="C74" i="2"/>
  <c r="K74" i="2"/>
  <c r="C84" i="2"/>
  <c r="F80" i="2"/>
  <c r="F81" i="2"/>
  <c r="F85" i="2"/>
  <c r="D104" i="2"/>
  <c r="H99" i="2"/>
  <c r="D109" i="2"/>
  <c r="N69" i="2"/>
  <c r="N73" i="2"/>
  <c r="A115" i="2"/>
  <c r="B115" i="2"/>
  <c r="C114" i="2"/>
  <c r="C113" i="2"/>
  <c r="J84" i="2" l="1"/>
  <c r="K84" i="2"/>
  <c r="J82" i="2"/>
  <c r="L81" i="2"/>
  <c r="K81" i="2"/>
  <c r="I84" i="2"/>
  <c r="L84" i="2" s="1"/>
  <c r="L82" i="2"/>
  <c r="E61" i="2"/>
  <c r="J72" i="2"/>
  <c r="B72" i="2" s="1"/>
  <c r="E59" i="2"/>
  <c r="H104" i="2"/>
  <c r="J71" i="2"/>
  <c r="B71" i="2" s="1"/>
  <c r="B70" i="2"/>
  <c r="B75" i="2"/>
  <c r="B73" i="2"/>
  <c r="D114" i="2"/>
  <c r="D113" i="2"/>
  <c r="J69" i="2"/>
  <c r="A116" i="2"/>
  <c r="F84" i="2"/>
  <c r="F74" i="2"/>
  <c r="C115" i="2"/>
  <c r="B116" i="2"/>
  <c r="J74" i="2" l="1"/>
  <c r="B74" i="2" s="1"/>
  <c r="B69" i="2"/>
  <c r="A117" i="2"/>
  <c r="C116" i="2"/>
  <c r="B117" i="2"/>
  <c r="D115" i="2" l="1"/>
  <c r="A118" i="2"/>
  <c r="B118" i="2"/>
  <c r="C117" i="2"/>
  <c r="D116" i="2" l="1"/>
  <c r="A119" i="2"/>
  <c r="C118" i="2"/>
  <c r="B119" i="2"/>
  <c r="D117" i="2" l="1"/>
  <c r="A120" i="2"/>
  <c r="C119" i="2"/>
  <c r="B120" i="2"/>
  <c r="D118" i="2" l="1"/>
  <c r="A121" i="2"/>
  <c r="C120" i="2"/>
  <c r="B121" i="2"/>
  <c r="D119" i="2" l="1"/>
  <c r="A122" i="2"/>
  <c r="B122" i="2"/>
  <c r="C121" i="2"/>
  <c r="D120" i="2" l="1"/>
  <c r="A123" i="2"/>
  <c r="B123" i="2"/>
  <c r="C122" i="2"/>
  <c r="D121" i="2" l="1"/>
  <c r="A124" i="2"/>
  <c r="C123" i="2"/>
  <c r="B124" i="2"/>
  <c r="D122" i="2" l="1"/>
  <c r="A125" i="2"/>
  <c r="C124" i="2"/>
  <c r="B125" i="2"/>
  <c r="D123" i="2" l="1"/>
  <c r="A126" i="2"/>
  <c r="C125" i="2"/>
  <c r="B126" i="2"/>
  <c r="D124" i="2" l="1"/>
  <c r="A127" i="2"/>
  <c r="C126" i="2"/>
  <c r="B127" i="2"/>
  <c r="D125" i="2" l="1"/>
  <c r="A128" i="2"/>
  <c r="B128" i="2"/>
  <c r="C127" i="2"/>
  <c r="D126" i="2" l="1"/>
  <c r="A129" i="2"/>
  <c r="C128" i="2"/>
  <c r="B129" i="2"/>
  <c r="D127" i="2" l="1"/>
  <c r="A130" i="2"/>
  <c r="B130" i="2"/>
  <c r="C129" i="2"/>
  <c r="D128" i="2" l="1"/>
  <c r="A131" i="2"/>
  <c r="B131" i="2"/>
  <c r="C130" i="2"/>
  <c r="D129" i="2" l="1"/>
  <c r="A132" i="2"/>
  <c r="B132" i="2"/>
  <c r="C131" i="2"/>
  <c r="D130" i="2" l="1"/>
  <c r="A133" i="2"/>
  <c r="C132" i="2"/>
  <c r="B133" i="2"/>
  <c r="D131" i="2" l="1"/>
  <c r="A134" i="2"/>
  <c r="B134" i="2"/>
  <c r="C133" i="2"/>
  <c r="D132" i="2" l="1"/>
  <c r="A135" i="2"/>
  <c r="C134" i="2"/>
  <c r="B135" i="2"/>
  <c r="D133" i="2" l="1"/>
  <c r="A136" i="2"/>
  <c r="C135" i="2"/>
  <c r="B136" i="2"/>
  <c r="D134" i="2" l="1"/>
  <c r="A137" i="2"/>
  <c r="C136" i="2"/>
  <c r="B137" i="2"/>
  <c r="D135" i="2" l="1"/>
  <c r="A138" i="2"/>
  <c r="B138" i="2"/>
  <c r="C137" i="2"/>
  <c r="D136" i="2" l="1"/>
  <c r="A139" i="2"/>
  <c r="C138" i="2"/>
  <c r="B139" i="2"/>
  <c r="D137" i="2" l="1"/>
  <c r="A140" i="2"/>
  <c r="B140" i="2"/>
  <c r="C139" i="2"/>
  <c r="D138" i="2" l="1"/>
  <c r="A141" i="2"/>
  <c r="B141" i="2"/>
  <c r="C140" i="2"/>
  <c r="D139" i="2" l="1"/>
  <c r="A142" i="2"/>
  <c r="B142" i="2"/>
  <c r="C141" i="2"/>
  <c r="D140" i="2" l="1"/>
  <c r="A143" i="2"/>
  <c r="B143" i="2"/>
  <c r="C142" i="2"/>
  <c r="D141" i="2" l="1"/>
  <c r="A144" i="2"/>
  <c r="B144" i="2"/>
  <c r="C143" i="2"/>
  <c r="D142" i="2" l="1"/>
  <c r="A145" i="2"/>
  <c r="C144" i="2"/>
  <c r="B145" i="2"/>
  <c r="D143" i="2" l="1"/>
  <c r="A146" i="2"/>
  <c r="B146" i="2"/>
  <c r="C145" i="2"/>
  <c r="D144" i="2" l="1"/>
  <c r="A147" i="2"/>
  <c r="C146" i="2"/>
  <c r="B147" i="2"/>
  <c r="D145" i="2" l="1"/>
  <c r="A148" i="2"/>
  <c r="C147" i="2"/>
  <c r="B148" i="2"/>
  <c r="D146" i="2" l="1"/>
  <c r="A149" i="2"/>
  <c r="C148" i="2"/>
  <c r="B149" i="2"/>
  <c r="D147" i="2" l="1"/>
  <c r="A150" i="2"/>
  <c r="C149" i="2"/>
  <c r="B150" i="2"/>
  <c r="D148" i="2" l="1"/>
  <c r="A151" i="2"/>
  <c r="B151" i="2"/>
  <c r="C150" i="2"/>
  <c r="D149" i="2" l="1"/>
  <c r="A152" i="2"/>
  <c r="B152" i="2"/>
  <c r="C151" i="2"/>
  <c r="D150" i="2" l="1"/>
  <c r="A153" i="2"/>
  <c r="B153" i="2"/>
  <c r="C152" i="2"/>
  <c r="D151" i="2" l="1"/>
  <c r="A154" i="2"/>
  <c r="B154" i="2"/>
  <c r="C153" i="2"/>
  <c r="D152" i="2" l="1"/>
  <c r="A155" i="2"/>
  <c r="B155" i="2"/>
  <c r="C154" i="2"/>
  <c r="D153" i="2" l="1"/>
  <c r="A156" i="2"/>
  <c r="C155" i="2"/>
  <c r="D154" i="2" l="1"/>
  <c r="A157" i="2"/>
  <c r="D155" i="2" l="1"/>
  <c r="A158" i="2"/>
</calcChain>
</file>

<file path=xl/sharedStrings.xml><?xml version="1.0" encoding="utf-8"?>
<sst xmlns="http://schemas.openxmlformats.org/spreadsheetml/2006/main" count="3688" uniqueCount="886">
  <si>
    <t>M_sobreposição</t>
  </si>
  <si>
    <t>I_linha</t>
  </si>
  <si>
    <t>I_oblíquo</t>
  </si>
  <si>
    <t>M_entrelinha</t>
  </si>
  <si>
    <t>I_sobreposição</t>
  </si>
  <si>
    <t>I_enrolado</t>
  </si>
  <si>
    <t>M_enrolado</t>
  </si>
  <si>
    <t>M_oblíquo</t>
  </si>
  <si>
    <t>M_direito</t>
  </si>
  <si>
    <t>I_entrelinha</t>
  </si>
  <si>
    <t>I_direito</t>
  </si>
  <si>
    <t>I_entrelinha inclinado</t>
  </si>
  <si>
    <t>M_linha_adição</t>
  </si>
  <si>
    <t>M_entrelinha com chamada</t>
  </si>
  <si>
    <t>M_linha</t>
  </si>
  <si>
    <t>Imediatas</t>
  </si>
  <si>
    <t>Mediatas</t>
  </si>
  <si>
    <t>Total</t>
  </si>
  <si>
    <t>Página</t>
  </si>
  <si>
    <t>TOTAL</t>
  </si>
  <si>
    <t>I_entrelinha com chamada</t>
  </si>
  <si>
    <t>&lt;o pescador&gt;[↑aquelle pescador]</t>
  </si>
  <si>
    <t>mediata</t>
  </si>
  <si>
    <t>M_sub</t>
  </si>
  <si>
    <t>&lt;ao lon&gt; rio abaixo</t>
  </si>
  <si>
    <t>imediata</t>
  </si>
  <si>
    <t>I_sub</t>
  </si>
  <si>
    <t>I_entrelinha descendo</t>
  </si>
  <si>
    <t>&lt;ch&gt; rêde</t>
  </si>
  <si>
    <t xml:space="preserve">I_linha </t>
  </si>
  <si>
    <t>&lt;na enseada da corrente&gt; entre</t>
  </si>
  <si>
    <t>&lt;entre uns teixos n’uma&gt;[↑ n’um recanto escuro ou]</t>
  </si>
  <si>
    <r>
      <t>[↑q</t>
    </r>
    <r>
      <rPr>
        <sz val="11"/>
        <color theme="1"/>
        <rFont val="TransRoman"/>
        <charset val="2"/>
      </rPr>
      <t>]</t>
    </r>
    <r>
      <rPr>
        <sz val="11"/>
        <color theme="1"/>
        <rFont val="Calibri"/>
        <family val="2"/>
        <scheme val="minor"/>
      </rPr>
      <t xml:space="preserve"> espraiava p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dentro de um al­gar,]</t>
    </r>
  </si>
  <si>
    <t>M_adição</t>
  </si>
  <si>
    <t>chôr&lt;ar&gt;/o\</t>
  </si>
  <si>
    <t>&lt;Gelou-se&gt;[↑Á primeira, esfriou]</t>
  </si>
  <si>
    <t>%mediata</t>
  </si>
  <si>
    <t>%M_sub</t>
  </si>
  <si>
    <t>%M_entrelinha com chamada</t>
  </si>
  <si>
    <t>%M_direito</t>
  </si>
  <si>
    <t>d&lt;o&gt;[↑’aquelle]</t>
  </si>
  <si>
    <t>&lt;de creança&gt;</t>
  </si>
  <si>
    <t>#M_sup</t>
  </si>
  <si>
    <t>#M_direito</t>
  </si>
  <si>
    <t>chorar[.]</t>
  </si>
  <si>
    <t>(g)M_adição</t>
  </si>
  <si>
    <t>pe­queni&lt;n&gt;/t\os</t>
  </si>
  <si>
    <t>$mediata</t>
  </si>
  <si>
    <t>$M_sub</t>
  </si>
  <si>
    <t>$M_sobreposição</t>
  </si>
  <si>
    <t>[q]</t>
  </si>
  <si>
    <t>mediata+</t>
  </si>
  <si>
    <t>&lt;e&gt;</t>
  </si>
  <si>
    <t>(g)M_sup</t>
  </si>
  <si>
    <t>M_oblíquo_sup</t>
  </si>
  <si>
    <t>[↑desdentadas]</t>
  </si>
  <si>
    <t>&lt;dar&gt;[↑vibrar]</t>
  </si>
  <si>
    <t>(*)mediata</t>
  </si>
  <si>
    <t>(*)M_sub</t>
  </si>
  <si>
    <t>(*)M_entrelinha</t>
  </si>
  <si>
    <t>(*)M_direito</t>
  </si>
  <si>
    <t>[↑claras]</t>
  </si>
  <si>
    <t>(ª)mediata</t>
  </si>
  <si>
    <t>(ª)M_adição</t>
  </si>
  <si>
    <t>&lt;limpidas dos rios&gt;[↑dos ribeiros]</t>
  </si>
  <si>
    <t>&lt;porcas pessoas&gt;[↑ indecentes carcassas]</t>
  </si>
  <si>
    <t>&lt;carcassas&gt;[↑ arcaboiços.]</t>
  </si>
  <si>
    <t>&lt;as suas&gt;/os seus\</t>
  </si>
  <si>
    <t>(g)M_sub</t>
  </si>
  <si>
    <t>&lt;em que prendiam as boias de um pardelho&gt; curvadas</t>
  </si>
  <si>
    <t>&lt;berço&gt;[↑vulto]</t>
  </si>
  <si>
    <t>(*)M_enrolado</t>
  </si>
  <si>
    <t>&lt;fe&gt; tepida</t>
  </si>
  <si>
    <t>&lt;engastara-se&gt;[↑quedara-se enleiado]</t>
  </si>
  <si>
    <t>&lt;curvado&gt;[↑vergado]</t>
  </si>
  <si>
    <t>[↑d’ali, atado n’elle,]</t>
  </si>
  <si>
    <t>atad&lt;a&gt;/o\</t>
  </si>
  <si>
    <t>[↑– um bosque de choupos assim chamado.]</t>
  </si>
  <si>
    <t>&lt;agitadas&gt;[↑ sobressaidas]</t>
  </si>
  <si>
    <r>
      <t>&lt;[↑ sobressaidas]&gt;[↑com propried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</si>
  <si>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r>
      <t>&lt;[↑com propried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]&gt;[↓arfadas]</t>
    </r>
  </si>
  <si>
    <t>[.] &lt;que era pan&gt; Francisco</t>
  </si>
  <si>
    <t>imediata+</t>
  </si>
  <si>
    <t>I_descendo</t>
  </si>
  <si>
    <t>[.]</t>
  </si>
  <si>
    <t>canastr&lt;a&gt;/i\nha&lt;,&gt;:</t>
  </si>
  <si>
    <t>&lt;,&gt;:</t>
  </si>
  <si>
    <t>&lt;ribanceira&gt;[↑vallado]</t>
  </si>
  <si>
    <t>d&lt;a&gt;/o\</t>
  </si>
  <si>
    <t>&lt;a quinta que agricultava&gt;[↑caza]</t>
  </si>
  <si>
    <t>d&lt;o&gt;/e\</t>
  </si>
  <si>
    <t>e[m]</t>
  </si>
  <si>
    <r>
      <t>[↑q­</t>
    </r>
    <r>
      <rPr>
        <vertAlign val="superscript"/>
        <sz val="11"/>
        <color theme="1"/>
        <rFont val="Calibri"/>
        <family val="2"/>
        <scheme val="minor"/>
      </rPr>
      <t>to</t>
    </r>
    <r>
      <rPr>
        <sz val="11"/>
        <color theme="1"/>
        <rFont val="Calibri"/>
        <family val="2"/>
        <scheme val="minor"/>
      </rPr>
      <t>]</t>
    </r>
  </si>
  <si>
    <t>&lt;outro.&gt;[↑&lt;o&gt;/a\ mais nova.]</t>
  </si>
  <si>
    <t>&amp;mediata</t>
  </si>
  <si>
    <t>&amp;M_sub</t>
  </si>
  <si>
    <t>&amp;M_entrelinha</t>
  </si>
  <si>
    <t>&amp;M_direito</t>
  </si>
  <si>
    <t>&lt;o&gt;/a\</t>
  </si>
  <si>
    <t>&lt;atravessado&gt;[↑engasgalhado]</t>
  </si>
  <si>
    <t>&lt;as estrellas&gt;[↑o ceo]</t>
  </si>
  <si>
    <t>&lt;d&gt;/m\agua</t>
  </si>
  <si>
    <t>&lt;-se&gt;</t>
  </si>
  <si>
    <t>#mediata</t>
  </si>
  <si>
    <t>#M_oblíquo_sup</t>
  </si>
  <si>
    <t>&lt;de&gt; o peito</t>
  </si>
  <si>
    <t>&lt;Ahi&gt;/Aqui\</t>
  </si>
  <si>
    <t>[↑- que]</t>
  </si>
  <si>
    <t>&lt;[↑ - que]&gt;</t>
  </si>
  <si>
    <t>I_sup</t>
  </si>
  <si>
    <t>I_oblíquo_sup</t>
  </si>
  <si>
    <t>[↑não]</t>
  </si>
  <si>
    <t>[↑cortada]</t>
  </si>
  <si>
    <t>&lt;tinha&gt;[↑estava]</t>
  </si>
  <si>
    <t>&lt;que era a mulher forte e&gt; foi buscar</t>
  </si>
  <si>
    <t>&lt;foi buscar&gt; tinha a sciencia</t>
  </si>
  <si>
    <t>&lt;quase&gt; todos nascidos</t>
  </si>
  <si>
    <t>&lt;nos braços do marido&gt; sem mais</t>
  </si>
  <si>
    <t>testemunh&lt;a&gt;/o\</t>
  </si>
  <si>
    <t>&lt;testemunha nem auxi&gt; auxi­lio</t>
  </si>
  <si>
    <t>&lt;[↑ tranquilidade]&gt;[↑ serena coragem]</t>
  </si>
  <si>
    <r>
      <t>&lt;resignada&gt; mt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conformid</t>
    </r>
    <r>
      <rPr>
        <vertAlign val="superscript"/>
        <sz val="11"/>
        <color theme="1"/>
        <rFont val="Calibri"/>
        <family val="2"/>
        <scheme val="minor"/>
      </rPr>
      <t>e</t>
    </r>
  </si>
  <si>
    <t>&lt;E á filha mais velha disia: § - E&gt; Depois</t>
  </si>
  <si>
    <t>&lt;punha&gt;[↑dava]-lhe</t>
  </si>
  <si>
    <t>&lt;os&gt;[↑ aos]</t>
  </si>
  <si>
    <t>[↑todo o alento aos pulmoens]</t>
  </si>
  <si>
    <t>42v</t>
  </si>
  <si>
    <r>
      <t>[Era como as mulheres de Israel, de quem as parteiras egypsiacas disiam ao pharaó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Pharaó]: «As mulheres dos hebreus não são como as dos egypcios: porq</t>
    </r>
    <r>
      <rPr>
        <sz val="11"/>
        <color theme="1"/>
        <rFont val="TransRoman"/>
        <charset val="2"/>
      </rPr>
      <t>]</t>
    </r>
    <r>
      <rPr>
        <sz val="11"/>
        <color theme="1"/>
        <rFont val="Calibri"/>
        <family val="2"/>
        <scheme val="minor"/>
      </rPr>
      <t xml:space="preserve"> ellas mesmas se sabem partejar, e, antes de nós chegarmos, pá­rem» (</t>
    </r>
    <r>
      <rPr>
        <i/>
        <sz val="11"/>
        <color theme="1"/>
        <rFont val="Calibri"/>
        <family val="2"/>
        <scheme val="minor"/>
      </rPr>
      <t xml:space="preserve">Biblia, Exodo, </t>
    </r>
    <r>
      <rPr>
        <sz val="11"/>
        <color theme="1"/>
        <rFont val="Calibri"/>
        <family val="2"/>
        <scheme val="minor"/>
      </rPr>
      <t>cap. 1.º, v. 19).]</t>
    </r>
  </si>
  <si>
    <t>pomar&lt;es&gt;</t>
  </si>
  <si>
    <r>
      <t>&lt;Manseos&gt;[↑St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Eulalia]</t>
    </r>
  </si>
  <si>
    <t>&lt;idosas&gt;[↑d’outros tempos]</t>
  </si>
  <si>
    <t>%M_entrelinha</t>
  </si>
  <si>
    <r>
      <t>&lt;e não hospede no grego&gt;[↑sabendo de cor a</t>
    </r>
    <r>
      <rPr>
        <i/>
        <sz val="11"/>
        <color theme="1"/>
        <rFont val="Calibri"/>
        <family val="2"/>
        <scheme val="minor"/>
      </rPr>
      <t xml:space="preserve"> Monarquia </t>
    </r>
    <r>
      <rPr>
        <sz val="11"/>
        <color theme="1"/>
        <rFont val="Calibri"/>
        <family val="2"/>
        <scheme val="minor"/>
      </rPr>
      <t>de Brito]</t>
    </r>
  </si>
  <si>
    <t>&lt;u&gt;/o\</t>
  </si>
  <si>
    <t>&lt;b&gt;/B\raga</t>
  </si>
  <si>
    <t>&lt;serio&gt;[↑grave]</t>
  </si>
  <si>
    <r>
      <t>[↑e m</t>
    </r>
    <r>
      <rPr>
        <vertAlign val="super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veridico]</t>
    </r>
  </si>
  <si>
    <t>Mo&lt;i&gt;/y\sés</t>
  </si>
  <si>
    <t>[nem sequer se em tempo de Moysés os israelitas possuiam o alphabet]</t>
  </si>
  <si>
    <t>&lt;.&gt;/,\</t>
  </si>
  <si>
    <t>&lt;[nem sequer se em tempo de Moysés os israelitas possuiam o alphabet]&gt;</t>
  </si>
  <si>
    <t>[↑Maria]</t>
  </si>
  <si>
    <r>
      <t>&lt;Feliciana Valladares&gt;[↑M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Filippa]</t>
    </r>
  </si>
  <si>
    <t>(*)M_entrelinha com chamada</t>
  </si>
  <si>
    <t>[↑&lt;Iam&gt;[↑Passavam] &lt;n&gt;/d\os cincoenta, -]</t>
  </si>
  <si>
    <t>&lt;Iam nos&gt;[↑Passavam]</t>
  </si>
  <si>
    <t>(*)mediata+</t>
  </si>
  <si>
    <t>&lt;n&gt;/d\os</t>
  </si>
  <si>
    <r>
      <t>[↑periodo equivoco em q</t>
    </r>
    <r>
      <rPr>
        <sz val="11"/>
        <color theme="1"/>
        <rFont val="TransRoman"/>
        <charset val="2"/>
      </rPr>
      <t>]</t>
    </r>
    <r>
      <rPr>
        <sz val="11"/>
        <color theme="1"/>
        <rFont val="Calibri"/>
        <family val="2"/>
        <scheme val="minor"/>
      </rPr>
      <t>]</t>
    </r>
  </si>
  <si>
    <t>mediata++</t>
  </si>
  <si>
    <t>[,]</t>
  </si>
  <si>
    <t xml:space="preserve">&lt;e&gt; </t>
  </si>
  <si>
    <t>&lt;a gratifiquem, chega a inspirar receios que&gt; lhe</t>
  </si>
  <si>
    <t>&lt;assi&gt; affirmem</t>
  </si>
  <si>
    <t>&lt;perde toda a individualid&gt; chega a</t>
  </si>
  <si>
    <t>&lt;chega a&gt; parece</t>
  </si>
  <si>
    <t>&lt;seria&gt;[↑melancolica, embalsamada, e]</t>
  </si>
  <si>
    <t>&lt;ao vo&gt; á bisca</t>
  </si>
  <si>
    <r>
      <t>[.] &lt;</t>
    </r>
    <r>
      <rPr>
        <i/>
        <sz val="11"/>
        <color theme="1"/>
        <rFont val="Calibri"/>
        <family val="2"/>
        <scheme val="minor"/>
      </rPr>
      <t>formaliter et substancialiter</t>
    </r>
    <r>
      <rPr>
        <sz val="11"/>
        <color theme="1"/>
        <rFont val="Calibri"/>
        <family val="2"/>
        <scheme val="minor"/>
      </rPr>
      <t>&gt; Na</t>
    </r>
  </si>
  <si>
    <t xml:space="preserve">&lt;sua&gt; </t>
  </si>
  <si>
    <t>&lt;tinha&gt;[↑cabia a]</t>
  </si>
  <si>
    <t>&lt;morgad&gt; senhor</t>
  </si>
  <si>
    <t>[↑outras eram mães;]</t>
  </si>
  <si>
    <t>&lt;poz&gt;[↑ergueu]</t>
  </si>
  <si>
    <t>&lt;gene&gt; historia</t>
  </si>
  <si>
    <t>&lt;P&gt;/M\adrinha</t>
  </si>
  <si>
    <t>&lt;Então&gt;[↑Vês?]</t>
  </si>
  <si>
    <t>[D]</t>
  </si>
  <si>
    <t>&lt;o velho&gt;[↑quem]</t>
  </si>
  <si>
    <t>&lt;,&gt;/!\</t>
  </si>
  <si>
    <r>
      <t>&lt;</t>
    </r>
    <r>
      <rPr>
        <i/>
        <sz val="11"/>
        <color theme="1"/>
        <rFont val="Times New Roman"/>
        <family val="1"/>
      </rPr>
      <t>matrecula</t>
    </r>
    <r>
      <rPr>
        <sz val="11"/>
        <color theme="1"/>
        <rFont val="Times New Roman"/>
        <family val="1"/>
      </rPr>
      <t xml:space="preserve"> d&gt;</t>
    </r>
  </si>
  <si>
    <t>&lt;,&gt;/.\</t>
  </si>
  <si>
    <t>&lt;se olhavam reciprocamente pasmadas&gt; estavam a ver se percebiam o modo</t>
  </si>
  <si>
    <r>
      <t>&lt;t&gt;/l\a&lt;n&gt;/­t\inid</t>
    </r>
    <r>
      <rPr>
        <vertAlign val="superscript"/>
        <sz val="11"/>
        <color theme="1"/>
        <rFont val="Times New Roman"/>
        <family val="1"/>
      </rPr>
      <t>e</t>
    </r>
  </si>
  <si>
    <r>
      <t>&lt;V. S</t>
    </r>
    <r>
      <rPr>
        <vertAlign val="superscript"/>
        <sz val="11"/>
        <color theme="1"/>
        <rFont val="Times New Roman"/>
        <family val="1"/>
      </rPr>
      <t>as</t>
    </r>
    <r>
      <rPr>
        <sz val="11"/>
        <color theme="1"/>
        <rFont val="Times New Roman"/>
        <family val="1"/>
      </rPr>
      <t>&gt;[↑vossas senhorias]</t>
    </r>
  </si>
  <si>
    <t>%M_oblíquo</t>
  </si>
  <si>
    <t>&lt;a circuns&gt; o processo do</t>
  </si>
  <si>
    <t>&lt;o processo do&gt;</t>
  </si>
  <si>
    <t>#M_enrolado</t>
  </si>
  <si>
    <t>&lt;diz&gt; a Biblia</t>
  </si>
  <si>
    <t>&lt;con&gt; doutor</t>
  </si>
  <si>
    <t xml:space="preserve">&lt;recordando-se&gt; forçando </t>
  </si>
  <si>
    <t>/É\</t>
  </si>
  <si>
    <t>&lt;G&gt; – E tomando</t>
  </si>
  <si>
    <t>&lt;teve uma&gt; foi o</t>
  </si>
  <si>
    <t>&lt;explicou&gt;[↑disse]</t>
  </si>
  <si>
    <t>&lt;voss&gt; o snr.</t>
  </si>
  <si>
    <t>&lt;snr&gt;[↑conego]</t>
  </si>
  <si>
    <t>&lt;das abelhas&gt; o mel</t>
  </si>
  <si>
    <r>
      <t>&lt;por qt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†&gt; - Tem</t>
    </r>
  </si>
  <si>
    <r>
      <t>[↑ironicamt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]</t>
    </r>
  </si>
  <si>
    <t>&lt;q&gt; se chamou</t>
  </si>
  <si>
    <t>[↑a seca]</t>
  </si>
  <si>
    <t>(ª)mediata+</t>
  </si>
  <si>
    <t>[d]os</t>
  </si>
  <si>
    <t>&lt;Bote&gt; hospede</t>
  </si>
  <si>
    <t xml:space="preserve">&lt;o&gt; </t>
  </si>
  <si>
    <t>[↑seu mano]</t>
  </si>
  <si>
    <t>extra[c]­ção</t>
  </si>
  <si>
    <r>
      <t xml:space="preserve">[.] </t>
    </r>
    <r>
      <rPr>
        <sz val="11"/>
        <color theme="1"/>
        <rFont val="Times New Roman"/>
        <family val="1"/>
      </rPr>
      <t>&lt;e houve&gt; O que denunciou</t>
    </r>
  </si>
  <si>
    <t>[↑direito]</t>
  </si>
  <si>
    <t>&lt;Vamos ao Gor&gt; Ande la</t>
  </si>
  <si>
    <t>M_entrelinha  com chamada</t>
  </si>
  <si>
    <t xml:space="preserve">&lt;chamado&gt; </t>
  </si>
  <si>
    <t>ve&lt;j&gt;/i\o</t>
  </si>
  <si>
    <t>&lt;sust&gt; manjar</t>
  </si>
  <si>
    <r>
      <t>&lt;d’ahi&gt;[↑cor­rupto 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vocabulo&gt;]</t>
    </r>
  </si>
  <si>
    <t>Scalabi&lt;us&gt;/s\</t>
  </si>
  <si>
    <t>$M_oblíquo</t>
  </si>
  <si>
    <t>&lt;Não intendo essas derivaçoens&gt;[↑Tudo isso me parecem vocabulos corruptos e interpretaçoens corruptissimas,]</t>
  </si>
  <si>
    <t>&lt;inventou&gt;, se não inventou</t>
  </si>
  <si>
    <t>&lt;neto&gt; tal</t>
  </si>
  <si>
    <t xml:space="preserve">I_entrelinha </t>
  </si>
  <si>
    <t>&lt;im&gt; repugne</t>
  </si>
  <si>
    <t>&lt;calou-se&gt;[↑intupiu]</t>
  </si>
  <si>
    <t>&lt;, nem&gt; ás</t>
  </si>
  <si>
    <t>c&lt;a&gt;/e\der</t>
  </si>
  <si>
    <t>/g\arraio</t>
  </si>
  <si>
    <t>[↑Niebuhr]</t>
  </si>
  <si>
    <r>
      <t>&lt;entrava na caza de St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Eulalia&gt;[↑sahia da pia baptismal]</t>
    </r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</si>
  <si>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sahia</t>
    </r>
  </si>
  <si>
    <t>&lt;a&gt;/o\</t>
  </si>
  <si>
    <t>&lt;enrugava&gt; franziam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</si>
  <si>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miasmas</t>
    </r>
  </si>
  <si>
    <t>&lt;p&gt; de</t>
  </si>
  <si>
    <t>&lt;O vigario era instado&gt; O vigario</t>
  </si>
  <si>
    <t>&lt;vestida dos melhores capot&gt; o conego</t>
  </si>
  <si>
    <t>&lt;tan&gt; alem-Tamega</t>
  </si>
  <si>
    <t>&lt;coisas&gt;[↑dizeres]</t>
  </si>
  <si>
    <t>d&lt;a&gt;/o\s</t>
  </si>
  <si>
    <t>sentencios&lt;as&gt;/os\</t>
  </si>
  <si>
    <t>&lt;argutos&gt;[↑ finos]</t>
  </si>
  <si>
    <t>&lt;Com estes e outros ditos entretiveram a meia le&gt; Conversaram</t>
  </si>
  <si>
    <t>[↑Isabel,]</t>
  </si>
  <si>
    <t>&lt;coresma&gt;[↑ semana]</t>
  </si>
  <si>
    <t>[↑ sancta]</t>
  </si>
  <si>
    <t>&lt;Obrigado!&gt;[↑Eu dou licença]</t>
  </si>
  <si>
    <t>[↑rindo]</t>
  </si>
  <si>
    <t>&lt;O snr desembargador dá licença que o tal João seja&gt;</t>
  </si>
  <si>
    <t>– Outros</t>
  </si>
  <si>
    <t>(sifl)imediata</t>
  </si>
  <si>
    <t>(sifl)I_sup</t>
  </si>
  <si>
    <t>I_direito_sup</t>
  </si>
  <si>
    <t>&lt;d&gt;/a\bandonou-a</t>
  </si>
  <si>
    <t>n&lt;ão&gt;/em\</t>
  </si>
  <si>
    <r>
      <t>[↑no m</t>
    </r>
    <r>
      <rPr>
        <vertAlign val="superscript"/>
        <sz val="11"/>
        <color theme="1"/>
        <rFont val="Times New Roman"/>
        <family val="1"/>
      </rPr>
      <t>mo</t>
    </r>
    <r>
      <rPr>
        <sz val="11"/>
        <color theme="1"/>
        <rFont val="Times New Roman"/>
        <family val="1"/>
      </rPr>
      <t xml:space="preserve"> dia e]</t>
    </r>
  </si>
  <si>
    <t>&lt;n’uma aria&gt;[↑na aria]</t>
  </si>
  <si>
    <t>&lt;meia legua pequena&gt; um quarto</t>
  </si>
  <si>
    <r>
      <t>[↑na qualid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 xml:space="preserve"> de desembargador,]</t>
    </r>
  </si>
  <si>
    <t>&lt;qu&gt; inforcados</t>
  </si>
  <si>
    <t>&lt;derribada&gt;[↑ cahida]</t>
  </si>
  <si>
    <t>&lt;E a fé?&gt; Deixal-a cahir</t>
  </si>
  <si>
    <t>&lt;f&gt;/F\é</t>
  </si>
  <si>
    <r>
      <t>&lt;Inq&gt; St</t>
    </r>
    <r>
      <rPr>
        <vertAlign val="superscript"/>
        <sz val="10"/>
        <color theme="1"/>
        <rFont val="Times New Roman"/>
        <family val="1"/>
      </rPr>
      <t>o</t>
    </r>
    <r>
      <rPr>
        <sz val="10"/>
        <color theme="1"/>
        <rFont val="Times New Roman"/>
        <family val="1"/>
      </rPr>
      <t xml:space="preserve"> Off</t>
    </r>
    <r>
      <rPr>
        <vertAlign val="superscript"/>
        <sz val="10"/>
        <color theme="1"/>
        <rFont val="Times New Roman"/>
        <family val="1"/>
      </rPr>
      <t>o</t>
    </r>
  </si>
  <si>
    <t>&lt;apeada&gt;[↑derribada]</t>
  </si>
  <si>
    <t>[↑em Braga,]</t>
  </si>
  <si>
    <r>
      <t>[↑nem acreditava nas invencionices de Bernd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 de Brito,]</t>
    </r>
  </si>
  <si>
    <t>&lt;a&gt;/e\m</t>
  </si>
  <si>
    <t>&lt;atrito&gt; puir</t>
  </si>
  <si>
    <t>&lt;octo&gt;[↑nona]genario</t>
  </si>
  <si>
    <t>&lt;em um&gt;[↑no]</t>
  </si>
  <si>
    <t>(ª)M_entrelinha</t>
  </si>
  <si>
    <t>[↑das Therezinhas]</t>
  </si>
  <si>
    <t xml:space="preserve">era[m] </t>
  </si>
  <si>
    <t>falecido[s]</t>
  </si>
  <si>
    <t>&lt;tambe&gt; uma das</t>
  </si>
  <si>
    <t>&lt;Ma&gt; engeitada</t>
  </si>
  <si>
    <t>d&lt;e&gt;/a\</t>
  </si>
  <si>
    <r>
      <t>[↑da verd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</si>
  <si>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[↑moral]</t>
  </si>
  <si>
    <r>
      <t>&lt;tamanha negação&gt;[↑tanta incapacid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</si>
  <si>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[↑D.]</t>
  </si>
  <si>
    <t>[↑com 10.000 cruzados,]</t>
  </si>
  <si>
    <t>&lt;Lagarr&gt; Larrag</t>
  </si>
  <si>
    <t>&lt;Larrag&gt; Mestre Larraga</t>
  </si>
  <si>
    <t>&lt;quinze&gt;[↑ &lt;c&gt;/qu\atorze]</t>
  </si>
  <si>
    <t>&lt;c&gt;/qu\atorze</t>
  </si>
  <si>
    <t>flori&lt;f&gt;[↑ph]ago</t>
  </si>
  <si>
    <t>&lt;O marido de Tiburcia preferiu comer os 10:000 cruzados da velha esposa&gt; Não</t>
  </si>
  <si>
    <t>&lt;Não&gt; A hyndio[↑sin]crasia</t>
  </si>
  <si>
    <t>hyndio[↑sin]crasia</t>
  </si>
  <si>
    <t>M_sub_correcção de erro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</si>
  <si>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do</t>
    </r>
  </si>
  <si>
    <t>boi&lt;,&gt;</t>
  </si>
  <si>
    <t>&lt;tinha&gt;[↑prefazia]</t>
  </si>
  <si>
    <t>&lt;perfeitas&gt;[↑completas]</t>
  </si>
  <si>
    <t>&lt;trovador&gt;[↑bardo]</t>
  </si>
  <si>
    <t>&lt;insultou&gt;[↑injuriou]-a</t>
  </si>
  <si>
    <t>&lt;a ponto de&gt;[↑ate ao extremo de]</t>
  </si>
  <si>
    <t>&lt;vae&gt; queres</t>
  </si>
  <si>
    <t>[→Não tens vergonha! Põe um caustico nessa cabeça, douda!]</t>
  </si>
  <si>
    <t>(ª)M_linha_adição</t>
  </si>
  <si>
    <t>&lt;cinc&gt; 5:000</t>
  </si>
  <si>
    <t>n&lt;as&gt;/a\</t>
  </si>
  <si>
    <t>&lt;Em 18&gt; Quando</t>
  </si>
  <si>
    <t>&lt;Quando&gt; Aos desoito annos, o</t>
  </si>
  <si>
    <t>&lt;Aos desoito annos, &gt; &lt;o&gt;/O\</t>
  </si>
  <si>
    <t>verão&lt;,&gt;</t>
  </si>
  <si>
    <t>[↑ahi]</t>
  </si>
  <si>
    <t>&lt;pass&gt; folgára</t>
  </si>
  <si>
    <t>&lt;a&gt;/u\mas</t>
  </si>
  <si>
    <t>&lt;e&gt;/E\ra</t>
  </si>
  <si>
    <r>
      <t>5</t>
    </r>
    <r>
      <rPr>
        <sz val="11"/>
        <color theme="1"/>
        <rFont val="Calibri"/>
        <family val="2"/>
        <scheme val="minor"/>
      </rPr>
      <t xml:space="preserve">O </t>
    </r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>padre</t>
    </r>
    <r>
      <rPr>
        <vertAlign val="superscript"/>
        <sz val="11"/>
        <color theme="1"/>
        <rFont val="Calibri"/>
        <family val="2"/>
        <scheme val="minor"/>
      </rPr>
      <t xml:space="preserve"> 1</t>
    </r>
    <r>
      <rPr>
        <sz val="11"/>
        <color theme="1"/>
        <rFont val="Calibri"/>
        <family val="2"/>
        <scheme val="minor"/>
      </rPr>
      <t xml:space="preserve">&lt;e&gt;/E\ra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bom 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e 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caridoso</t>
    </r>
  </si>
  <si>
    <t>/mediata+</t>
  </si>
  <si>
    <t>/M_reordenação</t>
  </si>
  <si>
    <t>[↑e extravagante]</t>
  </si>
  <si>
    <t>&lt;não lh’a applaudiu.&gt;[↑lh’a desapprovou em termos energicos.]</t>
  </si>
  <si>
    <t>%M_enrolado</t>
  </si>
  <si>
    <t>[↑anonyma]</t>
  </si>
  <si>
    <r>
      <t>[↑&lt;fervoros&gt;/devot\am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]</t>
    </r>
  </si>
  <si>
    <r>
      <t>&lt;fervoros&gt;/devot\am</t>
    </r>
    <r>
      <rPr>
        <vertAlign val="superscript"/>
        <sz val="11"/>
        <color theme="1"/>
        <rFont val="Calibri"/>
        <family val="2"/>
        <scheme val="minor"/>
      </rPr>
      <t>te</t>
    </r>
  </si>
  <si>
    <t>$M_direito</t>
  </si>
  <si>
    <t>&lt;recolher engeitados;&gt;[↑ dar abrigo &lt;ao&gt;/a\s creanças aban­donadas;]</t>
  </si>
  <si>
    <t>&lt;ao&gt;/a\s</t>
  </si>
  <si>
    <t>&lt;ingeitado&gt; engeitados</t>
  </si>
  <si>
    <t>&lt;o que quer que er&gt; caridade</t>
  </si>
  <si>
    <t>&lt;caridade&gt; exercicio</t>
  </si>
  <si>
    <r>
      <t xml:space="preserve">&lt;até sem bastantes&gt;[↑desprovida de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bastantes]</t>
    </r>
  </si>
  <si>
    <r>
      <t>2</t>
    </r>
    <r>
      <rPr>
        <sz val="11"/>
        <color theme="1"/>
        <rFont val="Calibri"/>
        <family val="2"/>
        <scheme val="minor"/>
      </rPr>
      <t>bastantes]</t>
    </r>
    <r>
      <rPr>
        <vertAlign val="superscript"/>
        <sz val="11"/>
        <color theme="1"/>
        <rFont val="Calibri"/>
        <family val="2"/>
        <scheme val="minor"/>
      </rPr>
      <t xml:space="preserve"> 1</t>
    </r>
    <r>
      <rPr>
        <sz val="11"/>
        <color theme="1"/>
        <rFont val="Calibri"/>
        <family val="2"/>
        <scheme val="minor"/>
      </rPr>
      <t>re­cursos</t>
    </r>
  </si>
  <si>
    <t>M_reordenação</t>
  </si>
  <si>
    <t>[↑em]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</si>
  <si>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Assoldadando</t>
    </r>
  </si>
  <si>
    <t>&lt;e fazendo hospicio&gt; para a creação</t>
  </si>
  <si>
    <t>&lt;Onde iria&gt; Onde</t>
  </si>
  <si>
    <t>&lt;Onde&gt; Em que</t>
  </si>
  <si>
    <t>[↑sancta]</t>
  </si>
  <si>
    <t>&lt;[↑sancta]&gt;</t>
  </si>
  <si>
    <t>&lt;com&gt; no teu</t>
  </si>
  <si>
    <t>&lt;confiares&gt; contares</t>
  </si>
  <si>
    <t>&lt;t&gt;/e\u</t>
  </si>
  <si>
    <t>[↑justas]</t>
  </si>
  <si>
    <t>&lt;E&gt;[↑Ora]</t>
  </si>
  <si>
    <t>&lt;duas&gt;/dous\</t>
  </si>
  <si>
    <t>&lt;creanças&gt;[↑ meninos]</t>
  </si>
  <si>
    <t>&lt;, que não&gt; na primeira</t>
  </si>
  <si>
    <t>&lt;encontrou&gt;[↑levantara]</t>
  </si>
  <si>
    <t xml:space="preserve">(*)M_entrelinha </t>
  </si>
  <si>
    <t>&lt;[↑levantara]&gt;[↓encontrou]</t>
  </si>
  <si>
    <r>
      <t>&lt;&lt;Z&gt;/Z\imão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os francezes lhe mataram na Amarante e mais ao filho&gt;[↑um solda­do que &lt;and&gt;/est\ava lá &lt;pelas&gt;[↑ 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as] Ilhas com o irmão do snr. D. Miguel,]</t>
    </r>
  </si>
  <si>
    <t>&lt;and&gt;/est\ava</t>
  </si>
  <si>
    <r>
      <t>&lt;pelas&gt;[↑ 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as]</t>
    </r>
  </si>
  <si>
    <r>
      <t xml:space="preserve">[↑de </t>
    </r>
    <r>
      <rPr>
        <i/>
        <sz val="11"/>
        <color theme="1"/>
        <rFont val="Times New Roman"/>
        <family val="1"/>
      </rPr>
      <t>cambras</t>
    </r>
    <r>
      <rPr>
        <sz val="11"/>
        <color theme="1"/>
        <rFont val="Times New Roman"/>
        <family val="1"/>
      </rPr>
      <t>]</t>
    </r>
  </si>
  <si>
    <t>&lt;netos&gt; filhos</t>
  </si>
  <si>
    <t>&lt;ia&gt;[↑dois iria]</t>
  </si>
  <si>
    <t>&lt;Traz os&gt; Assim</t>
  </si>
  <si>
    <t>[↑o marido lhe levou]</t>
  </si>
  <si>
    <t>&lt;che&gt; era agora</t>
  </si>
  <si>
    <t>&lt;dia&gt;[↑noite de]</t>
  </si>
  <si>
    <t>%mediata+</t>
  </si>
  <si>
    <t>n&lt;o&gt;/a\</t>
  </si>
  <si>
    <t>&lt;pe&gt;[↑bri]garam</t>
  </si>
  <si>
    <t>&lt;devoto&gt;[↑barbaro]</t>
  </si>
  <si>
    <t>&lt;largar&gt; os</t>
  </si>
  <si>
    <t>&lt;rixosos&gt;[↑turbulentos]</t>
  </si>
  <si>
    <t>[↑de clavinas engatilhadas]</t>
  </si>
  <si>
    <t>&lt;minhotos&gt;[↑va­lentes]</t>
  </si>
  <si>
    <t>&lt;forçada&gt;[↑dominada]</t>
  </si>
  <si>
    <t>&lt;[↑dominada]&gt;[↑ acorçoada]</t>
  </si>
  <si>
    <t>[↑quedou-se a]</t>
  </si>
  <si>
    <t>olh&lt;ou&gt;/ar\</t>
  </si>
  <si>
    <t>&lt;disse não achar no seu coração as palavras de conforto&gt; espanto</t>
  </si>
  <si>
    <t>[↑proprio]</t>
  </si>
  <si>
    <t>&lt;desventura&gt;[↑desgraça]</t>
  </si>
  <si>
    <t>&lt;pureza da alma&gt; pudor, a religião</t>
  </si>
  <si>
    <t>&lt;ás de sua in&gt; que in</t>
  </si>
  <si>
    <t xml:space="preserve">&lt;que in&gt; congenial </t>
  </si>
  <si>
    <t>[↑sua]</t>
  </si>
  <si>
    <t>&lt;pro&gt;fundamente</t>
  </si>
  <si>
    <t>&lt;abalada&gt;[↑magoada]</t>
  </si>
  <si>
    <t>&lt;Do&gt; Alta</t>
  </si>
  <si>
    <t>&lt;sahir&gt; matar-se</t>
  </si>
  <si>
    <t>&lt;que se abria&gt;[↑que ella]</t>
  </si>
  <si>
    <t>[↑abrira]</t>
  </si>
  <si>
    <r>
      <t>&lt;Abraçou-se na filha do seu salvador&gt;[↑Reteve&lt;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a desvairada]</t>
    </r>
  </si>
  <si>
    <r>
      <t>Reteve&lt;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</t>
    </r>
  </si>
  <si>
    <t>&lt;exclamou:&gt;[disse-lhe abraçando-a:]</t>
  </si>
  <si>
    <t>&lt;a turvação do&gt; a vista vaga</t>
  </si>
  <si>
    <t>&lt;a&gt;/c\horou</t>
  </si>
  <si>
    <t>[↑mãe]</t>
  </si>
  <si>
    <t>&lt;cahiu de bruços&gt; exclamo</t>
  </si>
  <si>
    <t>&lt;exclamo&gt; balbuciou</t>
  </si>
  <si>
    <r>
      <t>&lt;morrer, que hade ser da m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familia&gt; souber</t>
    </r>
  </si>
  <si>
    <t>[o]</t>
  </si>
  <si>
    <t>&lt;isto&gt;</t>
  </si>
  <si>
    <t>&lt;v&gt;/V\em</t>
  </si>
  <si>
    <t>&lt;de&gt; poz</t>
  </si>
  <si>
    <t>&lt;para&gt;[↑p’ra]</t>
  </si>
  <si>
    <t>&lt;serve&gt;[↑monta]</t>
  </si>
  <si>
    <t>&lt;foi precizo&gt;[↑fez minga]</t>
  </si>
  <si>
    <t>&lt;sempre se entretinham com&gt; não</t>
  </si>
  <si>
    <t>&lt;para&gt;  mas</t>
  </si>
  <si>
    <t>p&lt;a&gt;/e\gar</t>
  </si>
  <si>
    <t>&lt;os porcos&gt;[↑uns sevados]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</si>
  <si>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</t>
    </r>
  </si>
  <si>
    <r>
      <t>&lt;Mande-os á eschola&gt;[↑Quero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apprendam]</t>
    </r>
  </si>
  <si>
    <t>f&lt;ra&gt;/a\zer</t>
  </si>
  <si>
    <t>I_sub_gralha</t>
  </si>
  <si>
    <t>[↑está a ler!]</t>
  </si>
  <si>
    <r>
      <t>&lt;senhora&gt; m</t>
    </r>
    <r>
      <rPr>
        <vertAlign val="superscript"/>
        <sz val="11"/>
        <color theme="1"/>
        <rFont val="Calibri"/>
        <family val="2"/>
        <scheme val="minor"/>
      </rPr>
      <t>a</t>
    </r>
  </si>
  <si>
    <t>&lt;tonel&gt;[↑cuba]</t>
  </si>
  <si>
    <t>%mediata++</t>
  </si>
  <si>
    <t>pequen&lt;o&gt;/a\</t>
  </si>
  <si>
    <r>
      <t>&lt;Os&gt;[↑Para nós e 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os]</t>
    </r>
  </si>
  <si>
    <t>&lt;outono&gt;[↑primavera]</t>
  </si>
  <si>
    <t>N&lt;o&gt;/a\</t>
  </si>
  <si>
    <t>&lt;, quan&gt; , Maria</t>
  </si>
  <si>
    <t>&lt;O Francisco&gt; O cazeiro,</t>
  </si>
  <si>
    <t>&lt;Appareceu&gt;[↑ Poseram-na]</t>
  </si>
  <si>
    <t>Olh&lt;a&gt;/e\</t>
  </si>
  <si>
    <t>&lt;Falle&gt;[↑Ralhe]</t>
  </si>
  <si>
    <t>&lt;snr&gt;[↑tio]</t>
  </si>
  <si>
    <t>[↑Acabarei como co­mecei.]</t>
  </si>
  <si>
    <t>[↑eu]</t>
  </si>
  <si>
    <t>esc[↑h]ola</t>
  </si>
  <si>
    <t>&lt;Uma&gt; Joaquina</t>
  </si>
  <si>
    <r>
      <t>[↑ Ja não ha pais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saibam criar as filhas com pão e páo...]</t>
    </r>
  </si>
  <si>
    <t>&lt;honrado velho&gt;[↑pai austero]</t>
  </si>
  <si>
    <t>&lt;As irmans e a mãe de Joaquina&gt; O conego</t>
  </si>
  <si>
    <t>I_enrolado_sup</t>
  </si>
  <si>
    <t>&lt;e o&gt; no</t>
  </si>
  <si>
    <t>&lt;velho&gt; amigo</t>
  </si>
  <si>
    <t>&lt;azilo&gt;[↑hospicio]</t>
  </si>
  <si>
    <t>&lt;exhuberava&gt;[↑transcendia]</t>
  </si>
  <si>
    <t>&lt;engeitados&gt;[↑expostos]</t>
  </si>
  <si>
    <t>&lt;Como&gt; Como</t>
  </si>
  <si>
    <t>[↑a alegria]</t>
  </si>
  <si>
    <t>&lt;a&gt;/o\s</t>
  </si>
  <si>
    <t>&lt;corpulentas&gt;[↑de grandes peitos e quadris;]</t>
  </si>
  <si>
    <t>[↑E declamando contra a estragação dos costumes, &lt;parecia um missionario&gt;[↑exceptuava sempre as suas filhas, dando-as como exemplo]]</t>
  </si>
  <si>
    <t>&lt;parecia um missionario.&gt;[↑exceptuava sempre as suas filhas, dando-as como exemplo.]</t>
  </si>
  <si>
    <t>&lt;estas reflexões&gt;[↑as exclamações]</t>
  </si>
  <si>
    <t>&lt;constou&gt;[↑propalou-se]</t>
  </si>
  <si>
    <t xml:space="preserve">[↑sobre­]nome </t>
  </si>
  <si>
    <t>&lt;a&gt; con­fluencia</t>
  </si>
  <si>
    <t>&lt;en&gt; expostos</t>
  </si>
  <si>
    <r>
      <t>[↑qt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de]</t>
    </r>
  </si>
  <si>
    <t>&lt;jus&gt; racional</t>
  </si>
  <si>
    <t>&lt;do&gt; vergonha</t>
  </si>
  <si>
    <t>&lt;a vergonha&gt;[↑ despejo]</t>
  </si>
  <si>
    <t>&lt;despejo&gt;[↑virtude]</t>
  </si>
  <si>
    <t>&lt;desatara as ultimas&gt; atirara a</t>
  </si>
  <si>
    <r>
      <t>&lt;seria racional inferir 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que&gt; a virtude atirara a ...&gt; pode inferir-se</t>
    </r>
  </si>
  <si>
    <t>&lt;Maria&gt;[↓uma mulher]</t>
  </si>
  <si>
    <t>&lt;incutir-se no&gt;[↑inquietar o]</t>
  </si>
  <si>
    <t>&lt;Ouvia a miudo&gt;[↑Assaltavam-na a cada passo]</t>
  </si>
  <si>
    <t xml:space="preserve">&lt;posthumas&gt; </t>
  </si>
  <si>
    <t>[↑ouvia-o com saudade, e]</t>
  </si>
  <si>
    <t>&lt;discutir com&gt; responder</t>
  </si>
  <si>
    <t>mestra[s]</t>
  </si>
  <si>
    <t>era[m]</t>
  </si>
  <si>
    <t>&lt;, educada pela&gt; em cousas</t>
  </si>
  <si>
    <t>[↑mal administrad&lt;a&gt;/os\]</t>
  </si>
  <si>
    <r>
      <t>[← e os rendim</t>
    </r>
    <r>
      <rPr>
        <vertAlign val="superscript"/>
        <sz val="11"/>
        <color theme="1"/>
        <rFont val="Calibri"/>
        <family val="2"/>
        <scheme val="minor"/>
      </rPr>
      <t>tos</t>
    </r>
    <r>
      <rPr>
        <sz val="11"/>
        <color theme="1"/>
        <rFont val="Calibri"/>
        <family val="2"/>
        <scheme val="minor"/>
      </rPr>
      <t xml:space="preserve"> da qt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, na verd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</si>
  <si>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%M_adição</t>
  </si>
  <si>
    <t>administrad&lt;a&gt;/os\</t>
  </si>
  <si>
    <t>supprira[m]</t>
  </si>
  <si>
    <t>[↑ainda assim]</t>
  </si>
  <si>
    <t>&lt;subsid&gt; esmolas</t>
  </si>
  <si>
    <t>&lt;igre&gt; sacristia</t>
  </si>
  <si>
    <t>&lt;um abas&gt; ao filho</t>
  </si>
  <si>
    <r>
      <t>ao filho 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</t>
    </r>
  </si>
  <si>
    <t>d&lt;e&gt;/o\</t>
  </si>
  <si>
    <t>&lt;um&gt; o farto</t>
  </si>
  <si>
    <t>[↑natural]</t>
  </si>
  <si>
    <t>18&lt;46&gt;/50\</t>
  </si>
  <si>
    <t>&lt;trez&gt;[↑oito]</t>
  </si>
  <si>
    <t>&lt;cincoenta e seis&gt;[↑sessenta]</t>
  </si>
  <si>
    <r>
      <t>&lt;com os seus bahus vasios da moeda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constituia&gt; mais nada. </t>
    </r>
  </si>
  <si>
    <r>
      <t>[↑Ant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de]</t>
    </r>
  </si>
  <si>
    <t>&lt;satisf&gt; contentamento</t>
  </si>
  <si>
    <t>imediata++</t>
  </si>
  <si>
    <t>um&lt;a&gt;</t>
  </si>
  <si>
    <t>vag&lt;a&gt;/o\</t>
  </si>
  <si>
    <t>&lt;bona&gt; fragueiros</t>
  </si>
  <si>
    <t>[↑brutos]</t>
  </si>
  <si>
    <t>matar[em]</t>
  </si>
  <si>
    <t>matar[em] o tempo</t>
  </si>
  <si>
    <t>&lt;creadas em conventos da côrte&gt; mandavam</t>
  </si>
  <si>
    <t>&lt;botar&gt;[↑deitar]</t>
  </si>
  <si>
    <t>&lt;pela alma dentro&gt;[↑redivivas e pungentes ao amago da alma]</t>
  </si>
  <si>
    <t>[–]</t>
  </si>
  <si>
    <t>se­gui&lt;u&gt;/ra\</t>
  </si>
  <si>
    <t>&lt;aquelle&gt; da caza</t>
  </si>
  <si>
    <t>[↑astuta]</t>
  </si>
  <si>
    <t>&lt;r&gt;/R\elaçoens</t>
  </si>
  <si>
    <t>&lt;foi ver o seu quer&gt; foi</t>
  </si>
  <si>
    <t>&lt;com uma be&gt; com uma</t>
  </si>
  <si>
    <t>&lt;com uma&gt; a</t>
  </si>
  <si>
    <t>&lt;a&gt; de</t>
  </si>
  <si>
    <t>&lt;uns ameigados&gt; olhos  negros docemente ameigados</t>
  </si>
  <si>
    <t>&lt;pela&gt;[↑por]</t>
  </si>
  <si>
    <t>&lt;que&gt; era</t>
  </si>
  <si>
    <t>&lt;com o ventre &lt;em&gt; expansivamente espherico,&gt; olhos</t>
  </si>
  <si>
    <t>&lt;em&gt; expansivamente</t>
  </si>
  <si>
    <t>&lt;de duas duzias&gt; porem</t>
  </si>
  <si>
    <t>mais[;]</t>
  </si>
  <si>
    <t>(g)M_linha_adição</t>
  </si>
  <si>
    <r>
      <t>[↑eu sahi d’aqui ha trinta e cinco, e nunca m</t>
    </r>
    <r>
      <rPr>
        <vertAlign val="super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o vi]</t>
    </r>
  </si>
  <si>
    <t>&lt;le&gt; ergueu-a</t>
  </si>
  <si>
    <t>[para tua casa.]</t>
  </si>
  <si>
    <t>&lt;.&gt;/p\ara tua casa</t>
  </si>
  <si>
    <r>
      <t>&lt;a St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 Aleixo, fallou com um&gt; a uma</t>
    </r>
  </si>
  <si>
    <t>&lt;acom&gt; interrompeu</t>
  </si>
  <si>
    <t>[↑do caso mila­grozo]</t>
  </si>
  <si>
    <t>&lt;a tua filha&gt;/o teu filho\</t>
  </si>
  <si>
    <t xml:space="preserve">&lt;mas&gt; </t>
  </si>
  <si>
    <t>&lt;e&gt;/E\u</t>
  </si>
  <si>
    <t>amigo&lt;;&gt;/.\</t>
  </si>
  <si>
    <r>
      <t>2</t>
    </r>
    <r>
      <rPr>
        <sz val="11"/>
        <color theme="1"/>
        <rFont val="Calibri"/>
        <family val="2"/>
        <scheme val="minor"/>
      </rPr>
      <t xml:space="preserve">antes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quizera</t>
    </r>
  </si>
  <si>
    <t>/mediata</t>
  </si>
  <si>
    <t>&lt;hoje&gt; agora</t>
  </si>
  <si>
    <t>[↑as]</t>
  </si>
  <si>
    <t>&lt;as cartas&gt;</t>
  </si>
  <si>
    <t>/T\ens</t>
  </si>
  <si>
    <t>&lt;nas arvores genealogicas&gt; nas genealogias ha</t>
  </si>
  <si>
    <t>&lt;velho&gt;[↑carrancudo]</t>
  </si>
  <si>
    <t>[↑tambem]</t>
  </si>
  <si>
    <t>&lt;uma&gt; a</t>
  </si>
  <si>
    <t>[↑me]</t>
  </si>
  <si>
    <t>&lt;bar&gt; an­daço</t>
  </si>
  <si>
    <t>&lt;D’onde é?&gt;</t>
  </si>
  <si>
    <t>&lt;– Da Povoa&gt;</t>
  </si>
  <si>
    <t>Aqui</t>
  </si>
  <si>
    <t>&lt;visto&gt;[↑pois]</t>
  </si>
  <si>
    <t>&lt;cazas&gt;[↑edificios]</t>
  </si>
  <si>
    <t>&lt;largo&gt;[↑recanto]</t>
  </si>
  <si>
    <t>&lt;morou ha&gt; morou um</t>
  </si>
  <si>
    <t>[↑Fiem-se la nos medicos!]</t>
  </si>
  <si>
    <t>[↓Ha que annos isto vai!... Perto de quarenta...]</t>
  </si>
  <si>
    <t>&lt;officio&gt;[↑responsos]</t>
  </si>
  <si>
    <t>ao[s]</t>
  </si>
  <si>
    <t>&lt;dizem&gt;/disseram\</t>
  </si>
  <si>
    <t>&lt;Ainda me lembro tambem de a ver a conversar com um meu condiscipulo de Latim&gt;</t>
  </si>
  <si>
    <t>- Que</t>
  </si>
  <si>
    <t>&lt;nem&gt; tenho</t>
  </si>
  <si>
    <t>&lt;lavrador&gt;[↑brasileiro]</t>
  </si>
  <si>
    <t>&lt;desfaz&gt;[↑está arrazando]</t>
  </si>
  <si>
    <t>&lt;o&gt;[↑um]</t>
  </si>
  <si>
    <t>palac&lt;io&gt;/ete\</t>
  </si>
  <si>
    <t>[↑reprêzas]</t>
  </si>
  <si>
    <t>&lt;disse&gt;[↑perguntou]</t>
  </si>
  <si>
    <t>&lt;homens.&gt;[→ mundo.]</t>
  </si>
  <si>
    <t>do&lt;s&gt;</t>
  </si>
  <si>
    <t>&lt;snr,&gt; senhor</t>
  </si>
  <si>
    <t>[↑era o]</t>
  </si>
  <si>
    <t>[↑a creança]</t>
  </si>
  <si>
    <t>&lt;a&gt;</t>
  </si>
  <si>
    <t>&lt;é&gt; nasceu</t>
  </si>
  <si>
    <t>[↑no livro dos baptisados]</t>
  </si>
  <si>
    <t>&lt;ah&gt; aqui</t>
  </si>
  <si>
    <t>&lt;– Tem&gt;</t>
  </si>
  <si>
    <t>– Tem</t>
  </si>
  <si>
    <t>&lt;patriarcha da Biblia&gt;[↑legislador dos hebreus]</t>
  </si>
  <si>
    <t>&lt;todos&gt; e ensina</t>
  </si>
  <si>
    <t>&lt;vig&gt;/rei\tor</t>
  </si>
  <si>
    <t>&lt;orbita&gt; área</t>
  </si>
  <si>
    <t>&lt;la se espalhou em parcellas pela pobreza&gt; acabou-se</t>
  </si>
  <si>
    <t>&lt;um&gt;</t>
  </si>
  <si>
    <t>pedir&lt;-lhe&gt;</t>
  </si>
  <si>
    <t>&lt;alguns&gt;[↑bastantes]</t>
  </si>
  <si>
    <t>&lt;um&gt;[↑alguns]</t>
  </si>
  <si>
    <t>&lt;foi&gt;[↑foram]</t>
  </si>
  <si>
    <t>&lt;nada lhe&gt; não mandam</t>
  </si>
  <si>
    <t>&lt;ricos; mas não mandam nada á sua bemfeitora&gt; bem encaminhados.</t>
  </si>
  <si>
    <t>&lt;augusta missão&gt; sancta</t>
  </si>
  <si>
    <t>&lt;está malt&gt; não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</si>
  <si>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o</t>
    </r>
  </si>
  <si>
    <t>&lt;murm&gt; dizem</t>
  </si>
  <si>
    <t>ouvi&lt;u&gt;/ra\</t>
  </si>
  <si>
    <t>to&lt;d&gt;/a\da</t>
  </si>
  <si>
    <t>&lt;honrado&gt; inoffensivo</t>
  </si>
  <si>
    <r>
      <t>anci&lt;ad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&gt;/a\</t>
    </r>
  </si>
  <si>
    <t>&lt;ama&gt; de</t>
  </si>
  <si>
    <t>&lt;de&gt; feliz</t>
  </si>
  <si>
    <t>[↑e com a turvação]</t>
  </si>
  <si>
    <t>&lt;[↑e com a turvação lhe]&gt;</t>
  </si>
  <si>
    <r>
      <t>[↑&lt;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,&gt; um dia&lt;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,&gt;]</t>
    </r>
  </si>
  <si>
    <t>&lt;lhe enviarei o meu nome e a minha residencia.&gt; sou</t>
  </si>
  <si>
    <t>&lt;morg&gt; da</t>
  </si>
  <si>
    <t>&lt;estou em mi&gt; cheguei</t>
  </si>
  <si>
    <t>[↑em rapaz]</t>
  </si>
  <si>
    <t>[↑alguns meses de 1809]</t>
  </si>
  <si>
    <t>&lt;austera&gt; gravidade</t>
  </si>
  <si>
    <t>Fernandes&lt;,&gt;</t>
  </si>
  <si>
    <t>&lt;disse&gt;[↑diz]</t>
  </si>
  <si>
    <t>&lt;§ – Sabe po&gt; Suspeita</t>
  </si>
  <si>
    <t>&lt;reitor&gt; snr</t>
  </si>
  <si>
    <t>&lt;vehemencia&gt; arrebatada</t>
  </si>
  <si>
    <t>&lt;Attender&gt; Folgo</t>
  </si>
  <si>
    <t>&lt;de virtuoso fervo&gt; que</t>
  </si>
  <si>
    <r>
      <t>&lt;considero-me r&gt; a m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obrigação</t>
    </r>
  </si>
  <si>
    <r>
      <t>&lt;a m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obrigação&gt; seria</t>
    </r>
  </si>
  <si>
    <t>&lt;res-&gt; observancia</t>
  </si>
  <si>
    <t>&lt;implica&gt; envolveria</t>
  </si>
  <si>
    <t>&lt;Recorda-se&gt; O snr</t>
  </si>
  <si>
    <t>&lt;era&gt; ella</t>
  </si>
  <si>
    <r>
      <t>&lt;d’ella&gt;[↑da f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]</t>
    </r>
  </si>
  <si>
    <t>&lt;vira signaes claros&gt; achára</t>
  </si>
  <si>
    <t>&lt;encontrara&gt;[↑achára]</t>
  </si>
  <si>
    <t>&lt;V&gt; não</t>
  </si>
  <si>
    <r>
      <t>&lt;assim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>&gt;[↑apenas]</t>
    </r>
  </si>
  <si>
    <t>&lt;tinha&gt; passára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</si>
  <si>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exclamou</t>
    </r>
  </si>
  <si>
    <t>[↑ e coadjutor]</t>
  </si>
  <si>
    <t>&lt;[↑ e coadjutor]&gt;</t>
  </si>
  <si>
    <t>&lt;coadjutor&gt;[↑director]</t>
  </si>
  <si>
    <t>&lt;campainha&gt;[↑sinêta]</t>
  </si>
  <si>
    <r>
      <t>[↑p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os ver subindo a alea de faias e olmos]</t>
    </r>
  </si>
  <si>
    <t>&lt;o snr general Queiroz&gt;[↑este cavalheiro]</t>
  </si>
  <si>
    <t>&lt;quinze&gt;[↑dez]</t>
  </si>
  <si>
    <t>&lt;neto&gt;[↑rapaz]</t>
  </si>
  <si>
    <t>&lt;conheci&gt;[↑senti]</t>
  </si>
  <si>
    <t>&lt;Porto das Pedras&gt; Lima</t>
  </si>
  <si>
    <t>&lt;que o desculpasse por estar incommodado&gt;[↑palavras que não se perceberam.]</t>
  </si>
  <si>
    <t>&lt;sua mãe&gt; Jo­sefa</t>
  </si>
  <si>
    <t>&lt;inteira&gt; longa</t>
  </si>
  <si>
    <t>&lt;da belesa †&gt; que desmaia</t>
  </si>
  <si>
    <t>&lt;em&gt;[↑ - a nas]</t>
  </si>
  <si>
    <t>&lt;doentias&gt;[↑morbida]</t>
  </si>
  <si>
    <t>&lt;pallidez as mulheres.&gt;[↑ bellesa aristocrata]</t>
  </si>
  <si>
    <t>&lt;aquella mulher&gt; era</t>
  </si>
  <si>
    <t>&lt;†&gt; retrato</t>
  </si>
  <si>
    <r>
      <t>&lt;a quem desagradassem&gt;[↑caprichoso q</t>
    </r>
    <r>
      <rPr>
        <sz val="11"/>
        <color theme="1"/>
        <rFont val="TransRoman"/>
        <charset val="2"/>
      </rPr>
      <t>]</t>
    </r>
    <r>
      <rPr>
        <sz val="11"/>
        <color theme="1"/>
        <rFont val="Calibri"/>
        <family val="2"/>
        <scheme val="minor"/>
      </rPr>
      <t xml:space="preserve"> desadorasse]</t>
    </r>
  </si>
  <si>
    <t>[↑e vivas]</t>
  </si>
  <si>
    <t>&lt;aldeia&gt; campo</t>
  </si>
  <si>
    <t>&lt;ter&gt; em dez</t>
  </si>
  <si>
    <t>&lt;sem presumir a figura da filha&gt; sem presumpção</t>
  </si>
  <si>
    <t>[↑ a fª]</t>
  </si>
  <si>
    <t>&lt;viu&gt;[↑entreviu]</t>
  </si>
  <si>
    <t>&lt;mande&gt;[↑diga]</t>
  </si>
  <si>
    <t>[↑cumprir as ordens]</t>
  </si>
  <si>
    <t>&lt;sou&gt;[↑nada tinha... fui]</t>
  </si>
  <si>
    <t>&lt;como estas creanças que ahi vem&gt; e tenho</t>
  </si>
  <si>
    <t>&lt;era&gt; os recursos</t>
  </si>
  <si>
    <t>&lt;chita risc&gt; riscadinho azul</t>
  </si>
  <si>
    <t>&lt;Os&gt;/O\ mais</t>
  </si>
  <si>
    <t>mediata+++</t>
  </si>
  <si>
    <t>velh&lt;os&gt;/o\</t>
  </si>
  <si>
    <t>tinha&lt;m&gt;</t>
  </si>
  <si>
    <t>ma&lt;is&gt;/i\</t>
  </si>
  <si>
    <t>&lt;a&gt;/e\ncostava-se</t>
  </si>
  <si>
    <t>&lt;alegre&gt;[↑contente]</t>
  </si>
  <si>
    <r>
      <t>[↑com 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um&gt; desempeno de grande socied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</si>
  <si>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&lt;†-se&gt; e ajuda-me</t>
  </si>
  <si>
    <t>&lt;va&gt;[↑é urgente]</t>
  </si>
  <si>
    <t>[↑. Os titulos, depois –]</t>
  </si>
  <si>
    <t>&lt;o braço ao&gt;-se ao</t>
  </si>
  <si>
    <t>&lt;braço&gt; manga</t>
  </si>
  <si>
    <t>&lt;tenho a certeza de&gt;[↑é possível]</t>
  </si>
  <si>
    <t>teve[sse]</t>
  </si>
  <si>
    <t>aquell&lt;e&gt;/a\</t>
  </si>
  <si>
    <t>&lt;e seus descendentes ficam na quinta&gt; é meu caseiro, e hade dar-se bem</t>
  </si>
  <si>
    <t>&lt;snr&gt; senhor</t>
  </si>
  <si>
    <t>&lt;examinou-o&gt;[↑parecia exami­nal-o]</t>
  </si>
  <si>
    <t>&lt;mas&gt; Maria</t>
  </si>
  <si>
    <t>&lt;vej&gt; conheço</t>
  </si>
  <si>
    <t>[↑este berço]</t>
  </si>
  <si>
    <t>&lt;É verdade&gt; Penso eu</t>
  </si>
  <si>
    <t>&lt;Penso eu&gt;[↑ Talvez]</t>
  </si>
  <si>
    <t>[↑mas]</t>
  </si>
  <si>
    <t>&lt;Q&gt;/q\uem</t>
  </si>
  <si>
    <t>&lt;talvez&gt;[↑Pode ser]</t>
  </si>
  <si>
    <t>&lt;o general&gt;[↑Queiroz]</t>
  </si>
  <si>
    <t>&lt;exclamou&gt; bradou</t>
  </si>
  <si>
    <t>[↑pendente dos braços do pai;]</t>
  </si>
  <si>
    <t>&lt;arrebatados&gt;[↑extaticos]</t>
  </si>
  <si>
    <t>&lt;augusto&gt;[↑sublime]</t>
  </si>
  <si>
    <t>&lt;Ó leitor&gt;[↑Tomaz Ribeiro]</t>
  </si>
  <si>
    <t>mediata+++++</t>
  </si>
  <si>
    <t>&lt;s&gt;/t\eu</t>
  </si>
  <si>
    <t>te&lt;m&gt;/ns\</t>
  </si>
  <si>
    <t>imagin&lt;e&gt;/a\</t>
  </si>
  <si>
    <t>descrev&lt;a&gt;/e\-o</t>
  </si>
  <si>
    <t>pode&lt;r&gt;/s\</t>
  </si>
  <si>
    <t>&amp;M_entrelinha descendo</t>
  </si>
  <si>
    <t>&amp;M_enrolado</t>
  </si>
  <si>
    <t>[cara a cara:]</t>
  </si>
  <si>
    <t>dizer&lt;:&gt;/,\</t>
  </si>
  <si>
    <t>Maria Moysés&lt;.&gt;/,\</t>
  </si>
  <si>
    <t>&lt;ella&gt;[↑Joaquina]</t>
  </si>
  <si>
    <t>&lt;N&gt;/D\a caza</t>
  </si>
  <si>
    <t>&lt;quase indifferença&gt;[↑&lt;tranquilidade&gt;]</t>
  </si>
  <si>
    <t>&lt;foi&gt;[↑chamou-se]</t>
  </si>
  <si>
    <t>[***]</t>
  </si>
  <si>
    <t>cont inc_mesma frase</t>
  </si>
  <si>
    <t xml:space="preserve">mesma palavra_alguns parágrafos </t>
  </si>
  <si>
    <t>(*)antes_mesma frase</t>
  </si>
  <si>
    <t>mesma palavra_alguns parágrafos</t>
  </si>
  <si>
    <t>(g)M_mesma frase</t>
  </si>
  <si>
    <t>(g)I_mesma frase</t>
  </si>
  <si>
    <t>(g)M(cont inc)_mesma frase</t>
  </si>
  <si>
    <t>(g)M_frase contígua</t>
  </si>
  <si>
    <t>rep_mesma frase</t>
  </si>
  <si>
    <t>rep_parágrafo contíguo</t>
  </si>
  <si>
    <t>&lt;atirou&gt;[↑deitou]</t>
  </si>
  <si>
    <t xml:space="preserve">M_entrelinha </t>
  </si>
  <si>
    <t>cont inc_parágrafo contíguo</t>
  </si>
  <si>
    <t>&lt;leiras&gt;[↑serras]</t>
  </si>
  <si>
    <t>M_entrelinha_ad</t>
  </si>
  <si>
    <t>M_entrelinha com chamada_ad</t>
  </si>
  <si>
    <t>M_verso_ad</t>
  </si>
  <si>
    <t>(ª)M_entrelinha_ad</t>
  </si>
  <si>
    <t>(ª)M_entrelinha com chamada_ad</t>
  </si>
  <si>
    <t>M_entrelinha com chamada_as</t>
  </si>
  <si>
    <t xml:space="preserve">&lt;*&gt; Ora, passados alguns dias...
</t>
  </si>
  <si>
    <t xml:space="preserve">
[*] A Filha que Izabel...</t>
  </si>
  <si>
    <t>M_sup</t>
  </si>
  <si>
    <t xml:space="preserve">&lt;na ponte&gt; </t>
  </si>
  <si>
    <t>[↑na ponte]</t>
  </si>
  <si>
    <t xml:space="preserve"> &lt;e vermelhaças&gt;</t>
  </si>
  <si>
    <t>[↑vermelhaças,]</t>
  </si>
  <si>
    <t>dar[↑-lhes]</t>
  </si>
  <si>
    <t>mandava&lt;-lhes&gt; dar</t>
  </si>
  <si>
    <t>M_projecção_alguns parágrafos</t>
  </si>
  <si>
    <t>M_retroprojecção_mesma frase</t>
  </si>
  <si>
    <t>M_projecção_mesma frase</t>
  </si>
  <si>
    <t>&lt;topou o berço ... curvadas pelo pezo de uma rede cuja boias trapejavam nos flancos da&gt; tocou (...). O berço engastara-se na ramagem de um salgueiro curvado</t>
  </si>
  <si>
    <t xml:space="preserve">cont inc_mesma frase </t>
  </si>
  <si>
    <t>M_projecção_frase contígua</t>
  </si>
  <si>
    <t>M_retroprojecção_frase contígua</t>
  </si>
  <si>
    <t>I_retorno_mesma frase</t>
  </si>
  <si>
    <t>#M_retorno_mesma frase</t>
  </si>
  <si>
    <t>I_projecção_mesma frase</t>
  </si>
  <si>
    <t>&lt;o tem&gt; coelhos</t>
  </si>
  <si>
    <t>&lt;*t&gt;/o\</t>
  </si>
  <si>
    <t>I_projecção_parágrafo contíguo</t>
  </si>
  <si>
    <t>&lt;/,\&gt;/.\</t>
  </si>
  <si>
    <t>(g)M_mesma frase M_retroprojecção_mesma frase</t>
  </si>
  <si>
    <t>(g)/M_mesma frase</t>
  </si>
  <si>
    <t>(g)(*)M_mesma frase</t>
  </si>
  <si>
    <t>M_projecção(*)_mesma frase</t>
  </si>
  <si>
    <t>M_projecção(*)_frase contígua</t>
  </si>
  <si>
    <t>(g)M(projecção(*))_mesma frase</t>
  </si>
  <si>
    <t>(g)I_mesma frase M_retorno_mesma frase</t>
  </si>
  <si>
    <t>&lt;O&gt;[↑*Succedera assim: o]</t>
  </si>
  <si>
    <t>&lt;[↑*Succedera assim: o]&gt;[↑O velho]</t>
  </si>
  <si>
    <t>&lt;*o&gt;/a\</t>
  </si>
  <si>
    <t>&lt;*manti&gt; sentia</t>
  </si>
  <si>
    <t>(g)M_oblíquo_sup</t>
  </si>
  <si>
    <t>(g)M_sobreposição</t>
  </si>
  <si>
    <t>(g)M_entrelinha_ad</t>
  </si>
  <si>
    <t>(g)M_entrelinha com chamada_ad</t>
  </si>
  <si>
    <t>(g)M_entrelinha</t>
  </si>
  <si>
    <t>(g)M_enrolado</t>
  </si>
  <si>
    <t>(g)M_linha</t>
  </si>
  <si>
    <t>(g)M_direito_sup</t>
  </si>
  <si>
    <t>(g)M_oblíquo</t>
  </si>
  <si>
    <t>(g)M_riscado</t>
  </si>
  <si>
    <t>(g)M_Sobreposição</t>
  </si>
  <si>
    <t>(g)M_direito</t>
  </si>
  <si>
    <t>%M_entrelinha com traço_sub</t>
  </si>
  <si>
    <t>M_entrelinha com chamada_ad M_entrelinha com traço_ad</t>
  </si>
  <si>
    <t>A - Cronologia das emendas</t>
  </si>
  <si>
    <t>?</t>
  </si>
  <si>
    <t>A1 - Emendas em que não é possível a definição da cronologia (?)</t>
  </si>
  <si>
    <t>B - Emendas múltiplas</t>
  </si>
  <si>
    <t>Imediata</t>
  </si>
  <si>
    <t>Mediata</t>
  </si>
  <si>
    <t>C - Operações de escrita</t>
  </si>
  <si>
    <t xml:space="preserve">C1 - Operações de escrita das emendas ligadas </t>
  </si>
  <si>
    <t xml:space="preserve">Adição </t>
  </si>
  <si>
    <t>Supressão</t>
  </si>
  <si>
    <t xml:space="preserve">Substituição </t>
  </si>
  <si>
    <t>Reordenação</t>
  </si>
  <si>
    <t>Total (soma)</t>
  </si>
  <si>
    <t>Total (confirmação)</t>
  </si>
  <si>
    <t>E - Topografia das emendas</t>
  </si>
  <si>
    <t xml:space="preserve"> F - Direcção de sentido</t>
  </si>
  <si>
    <t xml:space="preserve">G - Amplitude </t>
  </si>
  <si>
    <t>G1 - Amplitude 1</t>
  </si>
  <si>
    <t>1.1. Direcção de sentido</t>
  </si>
  <si>
    <t>Projecção</t>
  </si>
  <si>
    <t>Retroprojecção</t>
  </si>
  <si>
    <t>Retorno</t>
  </si>
  <si>
    <t>Total (imediata)</t>
  </si>
  <si>
    <t>Total (mediata)</t>
  </si>
  <si>
    <t>Total (?)</t>
  </si>
  <si>
    <t>1.2. Emendas ligadas</t>
  </si>
  <si>
    <t>1.3. Repetições</t>
  </si>
  <si>
    <t xml:space="preserve">G2 - Amplitude 2 </t>
  </si>
  <si>
    <t>Substituições  entrelinha</t>
  </si>
  <si>
    <t>Substituições fim de linha</t>
  </si>
  <si>
    <t>Substituições por sobreposição</t>
  </si>
  <si>
    <t>Supressões</t>
  </si>
  <si>
    <t>Reordenações</t>
  </si>
  <si>
    <t>Adições fim de linha</t>
  </si>
  <si>
    <t>Adição</t>
  </si>
  <si>
    <t>Substituição</t>
  </si>
  <si>
    <t>Enrolado</t>
  </si>
  <si>
    <t>Direito</t>
  </si>
  <si>
    <t>Oblíquo</t>
  </si>
  <si>
    <t>Verso</t>
  </si>
  <si>
    <t>Margem</t>
  </si>
  <si>
    <t>Entrelinha</t>
  </si>
  <si>
    <t>Linha</t>
  </si>
  <si>
    <t>Sobreposição</t>
  </si>
  <si>
    <t>(Continuação - Topografia das emendas) - Entrelinha</t>
  </si>
  <si>
    <t>Entrelinha simples</t>
  </si>
  <si>
    <t>Entrelinha com chamada</t>
  </si>
  <si>
    <t>Entrelinha com traço</t>
  </si>
  <si>
    <t>Entrelinha inclinado</t>
  </si>
  <si>
    <t>(Continuação - Topografia das emendas) - Operações de escrita</t>
  </si>
  <si>
    <t>Entrelinha total (soma)</t>
  </si>
  <si>
    <t>Entrelinha total (confirmação)</t>
  </si>
  <si>
    <t>Mesma frase</t>
  </si>
  <si>
    <t>Frase contígua</t>
  </si>
  <si>
    <t>Algumas frases</t>
  </si>
  <si>
    <t>Parágrafo contíguo</t>
  </si>
  <si>
    <t>Alguns parágrafos</t>
  </si>
  <si>
    <t>Mediata (ver G2)</t>
  </si>
  <si>
    <t>Repetições</t>
  </si>
  <si>
    <t>Emendas mediatas em que é possível saber o momento textual máximo de inserção</t>
  </si>
  <si>
    <t>Continuação incongruente</t>
  </si>
  <si>
    <t>Antes de sublinhado imediato</t>
  </si>
  <si>
    <t>Mesma palavra adiante</t>
  </si>
  <si>
    <t>Substituições simples</t>
  </si>
  <si>
    <t>Substituições de extensão maior</t>
  </si>
  <si>
    <t>Adições</t>
  </si>
  <si>
    <t>Adição mediata</t>
  </si>
  <si>
    <t>Adição ?</t>
  </si>
  <si>
    <t>Substituição imediata</t>
  </si>
  <si>
    <t>Substituição mediata</t>
  </si>
  <si>
    <t>Substituição ?</t>
  </si>
  <si>
    <t>I_projecção_frase contígua</t>
  </si>
  <si>
    <t>M_tl</t>
  </si>
  <si>
    <t>I_red</t>
  </si>
  <si>
    <t>I_ns</t>
  </si>
  <si>
    <t>I_tl</t>
  </si>
  <si>
    <t>M_ad</t>
  </si>
  <si>
    <t>M_projecção</t>
  </si>
  <si>
    <t>$M_tl</t>
  </si>
  <si>
    <t>M_red</t>
  </si>
  <si>
    <t>(*)M_tl</t>
  </si>
  <si>
    <t>I_projecção</t>
  </si>
  <si>
    <t>I_ort</t>
  </si>
  <si>
    <t>(*)M_sin</t>
  </si>
  <si>
    <t>M_g</t>
  </si>
  <si>
    <t>M_ns</t>
  </si>
  <si>
    <t>I_pont</t>
  </si>
  <si>
    <t>&amp;M_tl</t>
  </si>
  <si>
    <t>M_sin</t>
  </si>
  <si>
    <t>I_retorno</t>
  </si>
  <si>
    <t>M_ling</t>
  </si>
  <si>
    <t>I_ling</t>
  </si>
  <si>
    <t>$M_ort</t>
  </si>
  <si>
    <t>$M_pont</t>
  </si>
  <si>
    <t>M_ort</t>
  </si>
  <si>
    <t>$M_g</t>
  </si>
  <si>
    <t>I_sin</t>
  </si>
  <si>
    <t>M_retroprojecção</t>
  </si>
  <si>
    <t>I_retroprojecção_algumas frases</t>
  </si>
  <si>
    <t>I_retroprojecção</t>
  </si>
  <si>
    <t>#M_pont</t>
  </si>
  <si>
    <t>/M_reord</t>
  </si>
  <si>
    <t>#M_retroprojecção</t>
  </si>
  <si>
    <t>M_retorno</t>
  </si>
  <si>
    <t>M_retorno_mesma frase</t>
  </si>
  <si>
    <t>M_pont</t>
  </si>
  <si>
    <t>$M_red</t>
  </si>
  <si>
    <t>$M_sin</t>
  </si>
  <si>
    <t>(*)M_red</t>
  </si>
  <si>
    <t xml:space="preserve"> F - Direcção de sentido (sem emendas ligadas)</t>
  </si>
  <si>
    <t>Sinónimo</t>
  </si>
  <si>
    <t>Redireccionamento</t>
  </si>
  <si>
    <t>Troca lexical</t>
  </si>
  <si>
    <t>Outros</t>
  </si>
  <si>
    <t>M_reord</t>
  </si>
  <si>
    <t>Sup</t>
  </si>
  <si>
    <t>Reformulação</t>
  </si>
  <si>
    <t xml:space="preserve">Total: </t>
  </si>
  <si>
    <t>D - Traços de cancelamento</t>
  </si>
  <si>
    <t>Múltiplo</t>
  </si>
  <si>
    <t>1.1.1. Total de direcção de sentido sem especificação da cronologia das emendas</t>
  </si>
  <si>
    <t xml:space="preserve">Total </t>
  </si>
  <si>
    <t>Fólios</t>
  </si>
  <si>
    <t>Emendas</t>
  </si>
  <si>
    <t>Cronologia</t>
  </si>
  <si>
    <t>Operação de escrita</t>
  </si>
  <si>
    <t>Topografia</t>
  </si>
  <si>
    <t>Traço de cancelamento</t>
  </si>
  <si>
    <t>Amplitude</t>
  </si>
  <si>
    <t>Direcção de sentido</t>
  </si>
  <si>
    <t>H - Emendas mediatas com letra igual ao texto em seu redor</t>
  </si>
  <si>
    <t>Antes de cancelamento imediato</t>
  </si>
  <si>
    <t>D1 - Traços de cancelamento e operações de escrita</t>
  </si>
  <si>
    <t>I - Número de emendas por página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</si>
</sst>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Times New Roman"/>
      <family val="1"/>
    </font>
    <font>
      <sz val="10"/>
      <color rgb="FF222222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TransRoman"/>
      <charset val="2"/>
    </font>
    <font>
      <sz val="12"/>
      <color theme="1"/>
      <name val="Times New Roman"/>
      <family val="1"/>
    </font>
    <font>
      <i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sz val="11"/>
      <color theme="1"/>
      <name val="Book Antiqua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FF00"/>
      </left>
      <right/>
      <top style="medium">
        <color rgb="FFFFFF00"/>
      </top>
      <bottom style="thin">
        <color indexed="64"/>
      </bottom>
      <diagonal/>
    </border>
    <border>
      <left/>
      <right/>
      <top style="medium">
        <color rgb="FFFFFF00"/>
      </top>
      <bottom style="thin">
        <color indexed="64"/>
      </bottom>
      <diagonal/>
    </border>
    <border>
      <left style="medium">
        <color rgb="FF92D050"/>
      </left>
      <right/>
      <top style="medium">
        <color rgb="FF92D050"/>
      </top>
      <bottom style="thin">
        <color indexed="64"/>
      </bottom>
      <diagonal/>
    </border>
    <border>
      <left/>
      <right/>
      <top style="medium">
        <color rgb="FF92D050"/>
      </top>
      <bottom style="thin">
        <color indexed="64"/>
      </bottom>
      <diagonal/>
    </border>
    <border>
      <left style="medium">
        <color rgb="FF00B0F0"/>
      </left>
      <right/>
      <top style="medium">
        <color rgb="FF00B0F0"/>
      </top>
      <bottom style="thin">
        <color indexed="64"/>
      </bottom>
      <diagonal/>
    </border>
    <border>
      <left/>
      <right/>
      <top style="medium">
        <color rgb="FF00B0F0"/>
      </top>
      <bottom style="thin">
        <color indexed="64"/>
      </bottom>
      <diagonal/>
    </border>
    <border>
      <left/>
      <right style="medium">
        <color rgb="FF00B0F0"/>
      </right>
      <top style="medium">
        <color rgb="FF00B0F0"/>
      </top>
      <bottom style="thin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/>
      <top style="thin">
        <color indexed="64"/>
      </top>
      <bottom style="medium">
        <color rgb="FFFFFF00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/>
      <top style="thin">
        <color indexed="64"/>
      </top>
      <bottom style="medium">
        <color rgb="FF92D050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medium">
        <color rgb="FF00B0F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0" fillId="0" borderId="0" xfId="0" applyFill="1" applyBorder="1"/>
    <xf numFmtId="0" fontId="0" fillId="0" borderId="5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0" fillId="0" borderId="0" xfId="0" applyFill="1"/>
    <xf numFmtId="0" fontId="0" fillId="0" borderId="14" xfId="0" applyFill="1" applyBorder="1"/>
    <xf numFmtId="0" fontId="5" fillId="0" borderId="15" xfId="0" applyFont="1" applyBorder="1"/>
    <xf numFmtId="0" fontId="5" fillId="0" borderId="16" xfId="0" applyFont="1" applyBorder="1"/>
    <xf numFmtId="0" fontId="0" fillId="0" borderId="16" xfId="0" applyBorder="1"/>
    <xf numFmtId="0" fontId="0" fillId="0" borderId="17" xfId="0" applyBorder="1"/>
    <xf numFmtId="0" fontId="1" fillId="0" borderId="18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vertical="center" wrapText="1"/>
    </xf>
    <xf numFmtId="0" fontId="0" fillId="0" borderId="19" xfId="0" applyBorder="1"/>
    <xf numFmtId="0" fontId="0" fillId="0" borderId="20" xfId="0" applyBorder="1"/>
    <xf numFmtId="0" fontId="0" fillId="0" borderId="4" xfId="0" applyFill="1" applyBorder="1"/>
    <xf numFmtId="0" fontId="0" fillId="0" borderId="6" xfId="0" applyFill="1" applyBorder="1"/>
    <xf numFmtId="0" fontId="5" fillId="0" borderId="8" xfId="0" applyFont="1" applyFill="1" applyBorder="1"/>
    <xf numFmtId="0" fontId="5" fillId="0" borderId="9" xfId="0" applyFont="1" applyFill="1" applyBorder="1"/>
    <xf numFmtId="0" fontId="5" fillId="0" borderId="10" xfId="0" applyFont="1" applyFill="1" applyBorder="1"/>
    <xf numFmtId="0" fontId="0" fillId="0" borderId="11" xfId="0" applyBorder="1"/>
    <xf numFmtId="0" fontId="0" fillId="0" borderId="7" xfId="0" applyFill="1" applyBorder="1"/>
    <xf numFmtId="0" fontId="5" fillId="0" borderId="15" xfId="0" applyFont="1" applyFill="1" applyBorder="1"/>
    <xf numFmtId="0" fontId="0" fillId="0" borderId="16" xfId="0" applyFill="1" applyBorder="1"/>
    <xf numFmtId="0" fontId="0" fillId="0" borderId="17" xfId="0" applyFill="1" applyBorder="1"/>
    <xf numFmtId="0" fontId="0" fillId="0" borderId="20" xfId="0" applyFill="1" applyBorder="1"/>
    <xf numFmtId="0" fontId="0" fillId="0" borderId="9" xfId="0" applyFill="1" applyBorder="1"/>
    <xf numFmtId="0" fontId="0" fillId="0" borderId="10" xfId="0" applyFill="1" applyBorder="1"/>
    <xf numFmtId="0" fontId="0" fillId="0" borderId="18" xfId="0" applyFill="1" applyBorder="1"/>
    <xf numFmtId="0" fontId="0" fillId="0" borderId="19" xfId="0" applyFill="1" applyBorder="1"/>
    <xf numFmtId="0" fontId="0" fillId="0" borderId="2" xfId="0" applyFill="1" applyBorder="1"/>
    <xf numFmtId="0" fontId="0" fillId="0" borderId="3" xfId="0" applyFill="1" applyBorder="1"/>
    <xf numFmtId="0" fontId="5" fillId="0" borderId="16" xfId="0" applyFont="1" applyFill="1" applyBorder="1"/>
    <xf numFmtId="0" fontId="0" fillId="0" borderId="18" xfId="0" applyBorder="1"/>
    <xf numFmtId="0" fontId="0" fillId="0" borderId="19" xfId="0" applyBorder="1" applyAlignment="1">
      <alignment vertical="center" wrapText="1"/>
    </xf>
    <xf numFmtId="0" fontId="0" fillId="0" borderId="19" xfId="0" applyFill="1" applyBorder="1" applyAlignment="1">
      <alignment vertical="center" wrapText="1"/>
    </xf>
    <xf numFmtId="0" fontId="1" fillId="0" borderId="20" xfId="0" applyFont="1" applyFill="1" applyBorder="1" applyAlignment="1">
      <alignment vertical="center" wrapText="1"/>
    </xf>
    <xf numFmtId="0" fontId="0" fillId="0" borderId="21" xfId="0" applyFill="1" applyBorder="1"/>
    <xf numFmtId="0" fontId="5" fillId="0" borderId="15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/>
    </xf>
    <xf numFmtId="0" fontId="0" fillId="0" borderId="19" xfId="0" applyBorder="1" applyAlignment="1">
      <alignment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wrapText="1"/>
    </xf>
    <xf numFmtId="0" fontId="0" fillId="0" borderId="4" xfId="0" applyBorder="1" applyAlignment="1">
      <alignment vertical="center" wrapText="1"/>
    </xf>
    <xf numFmtId="0" fontId="5" fillId="0" borderId="22" xfId="0" applyFont="1" applyBorder="1"/>
    <xf numFmtId="0" fontId="0" fillId="0" borderId="23" xfId="0" applyBorder="1"/>
    <xf numFmtId="0" fontId="0" fillId="0" borderId="1" xfId="0" applyBorder="1"/>
    <xf numFmtId="0" fontId="5" fillId="0" borderId="11" xfId="0" applyFont="1" applyFill="1" applyBorder="1"/>
    <xf numFmtId="0" fontId="0" fillId="5" borderId="14" xfId="0" applyFill="1" applyBorder="1"/>
    <xf numFmtId="0" fontId="0" fillId="0" borderId="31" xfId="0" applyFill="1" applyBorder="1"/>
    <xf numFmtId="0" fontId="0" fillId="0" borderId="32" xfId="0" applyFill="1" applyBorder="1"/>
    <xf numFmtId="0" fontId="0" fillId="0" borderId="33" xfId="0" applyFill="1" applyBorder="1"/>
    <xf numFmtId="0" fontId="0" fillId="0" borderId="34" xfId="0" applyFill="1" applyBorder="1"/>
    <xf numFmtId="0" fontId="0" fillId="0" borderId="2" xfId="0" applyFill="1" applyBorder="1" applyAlignment="1">
      <alignment vertical="center" wrapText="1"/>
    </xf>
    <xf numFmtId="0" fontId="0" fillId="5" borderId="34" xfId="0" applyFill="1" applyBorder="1"/>
    <xf numFmtId="0" fontId="0" fillId="5" borderId="2" xfId="0" applyFill="1" applyBorder="1"/>
    <xf numFmtId="0" fontId="0" fillId="5" borderId="31" xfId="0" applyFill="1" applyBorder="1"/>
    <xf numFmtId="0" fontId="0" fillId="5" borderId="3" xfId="0" applyFill="1" applyBorder="1"/>
    <xf numFmtId="0" fontId="0" fillId="5" borderId="32" xfId="0" applyFill="1" applyBorder="1"/>
    <xf numFmtId="0" fontId="0" fillId="5" borderId="33" xfId="0" applyFill="1" applyBorder="1"/>
    <xf numFmtId="0" fontId="0" fillId="5" borderId="4" xfId="0" applyFill="1" applyBorder="1"/>
    <xf numFmtId="0" fontId="0" fillId="5" borderId="36" xfId="0" applyFill="1" applyBorder="1"/>
    <xf numFmtId="0" fontId="0" fillId="5" borderId="37" xfId="0" applyFill="1" applyBorder="1"/>
    <xf numFmtId="0" fontId="0" fillId="5" borderId="38" xfId="0" applyFill="1" applyBorder="1"/>
    <xf numFmtId="0" fontId="0" fillId="5" borderId="39" xfId="0" applyFill="1" applyBorder="1"/>
    <xf numFmtId="0" fontId="0" fillId="5" borderId="40" xfId="0" applyFill="1" applyBorder="1"/>
    <xf numFmtId="0" fontId="0" fillId="5" borderId="41" xfId="0" applyFill="1" applyBorder="1"/>
    <xf numFmtId="0" fontId="0" fillId="5" borderId="42" xfId="0" applyFill="1" applyBorder="1"/>
    <xf numFmtId="0" fontId="0" fillId="5" borderId="43" xfId="0" applyFill="1" applyBorder="1"/>
    <xf numFmtId="0" fontId="0" fillId="5" borderId="44" xfId="0" applyFill="1" applyBorder="1"/>
    <xf numFmtId="0" fontId="0" fillId="0" borderId="21" xfId="0" applyBorder="1"/>
    <xf numFmtId="0" fontId="5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2" xfId="0" applyFill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45" xfId="0" applyBorder="1"/>
    <xf numFmtId="0" fontId="0" fillId="0" borderId="2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5" fillId="0" borderId="17" xfId="0" applyFont="1" applyFill="1" applyBorder="1"/>
    <xf numFmtId="0" fontId="5" fillId="0" borderId="0" xfId="0" applyFont="1" applyFill="1" applyBorder="1"/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4" fillId="0" borderId="3" xfId="0" applyFont="1" applyBorder="1"/>
    <xf numFmtId="0" fontId="1" fillId="0" borderId="0" xfId="0" applyFont="1"/>
    <xf numFmtId="0" fontId="4" fillId="0" borderId="6" xfId="0" applyFont="1" applyBorder="1"/>
    <xf numFmtId="0" fontId="0" fillId="2" borderId="4" xfId="0" applyFill="1" applyBorder="1"/>
    <xf numFmtId="0" fontId="0" fillId="4" borderId="6" xfId="0" applyFill="1" applyBorder="1"/>
    <xf numFmtId="0" fontId="0" fillId="3" borderId="6" xfId="0" applyFill="1" applyBorder="1"/>
    <xf numFmtId="0" fontId="0" fillId="0" borderId="11" xfId="0" applyBorder="1" applyAlignment="1">
      <alignment wrapText="1"/>
    </xf>
    <xf numFmtId="0" fontId="0" fillId="0" borderId="12" xfId="0" applyBorder="1" applyAlignment="1">
      <alignment vertical="center" wrapText="1"/>
    </xf>
    <xf numFmtId="0" fontId="0" fillId="3" borderId="7" xfId="0" applyFill="1" applyBorder="1"/>
    <xf numFmtId="0" fontId="0" fillId="4" borderId="5" xfId="0" applyFill="1" applyBorder="1"/>
    <xf numFmtId="0" fontId="0" fillId="6" borderId="7" xfId="0" applyFill="1" applyBorder="1"/>
    <xf numFmtId="0" fontId="0" fillId="7" borderId="3" xfId="0" applyFill="1" applyBorder="1"/>
    <xf numFmtId="0" fontId="0" fillId="8" borderId="3" xfId="0" applyFill="1" applyBorder="1"/>
    <xf numFmtId="0" fontId="0" fillId="7" borderId="6" xfId="0" applyFill="1" applyBorder="1"/>
    <xf numFmtId="0" fontId="0" fillId="5" borderId="5" xfId="0" applyFill="1" applyBorder="1"/>
    <xf numFmtId="0" fontId="0" fillId="5" borderId="6" xfId="0" applyFill="1" applyBorder="1"/>
    <xf numFmtId="0" fontId="0" fillId="9" borderId="7" xfId="0" applyFill="1" applyBorder="1"/>
    <xf numFmtId="0" fontId="5" fillId="0" borderId="0" xfId="0" applyFont="1" applyBorder="1"/>
    <xf numFmtId="0" fontId="5" fillId="0" borderId="22" xfId="0" applyFont="1" applyFill="1" applyBorder="1"/>
    <xf numFmtId="0" fontId="0" fillId="0" borderId="23" xfId="0" applyFill="1" applyBorder="1"/>
    <xf numFmtId="0" fontId="0" fillId="0" borderId="47" xfId="0" applyFill="1" applyBorder="1"/>
    <xf numFmtId="0" fontId="0" fillId="9" borderId="14" xfId="0" applyFill="1" applyBorder="1"/>
    <xf numFmtId="0" fontId="0" fillId="9" borderId="35" xfId="0" applyFill="1" applyBorder="1"/>
    <xf numFmtId="0" fontId="0" fillId="5" borderId="46" xfId="0" applyFill="1" applyBorder="1"/>
    <xf numFmtId="0" fontId="0" fillId="6" borderId="46" xfId="0" applyFill="1" applyBorder="1"/>
    <xf numFmtId="0" fontId="0" fillId="5" borderId="20" xfId="0" applyFill="1" applyBorder="1"/>
    <xf numFmtId="0" fontId="0" fillId="0" borderId="2" xfId="0" applyFill="1" applyBorder="1" applyAlignment="1"/>
    <xf numFmtId="0" fontId="0" fillId="5" borderId="7" xfId="0" applyFill="1" applyBorder="1"/>
    <xf numFmtId="0" fontId="5" fillId="0" borderId="15" xfId="0" applyFont="1" applyBorder="1" applyAlignment="1"/>
    <xf numFmtId="0" fontId="5" fillId="0" borderId="16" xfId="0" applyFont="1" applyBorder="1" applyAlignment="1"/>
    <xf numFmtId="0" fontId="0" fillId="0" borderId="20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8" borderId="6" xfId="0" applyFill="1" applyBorder="1"/>
    <xf numFmtId="0" fontId="0" fillId="2" borderId="5" xfId="0" applyFill="1" applyBorder="1"/>
    <xf numFmtId="0" fontId="0" fillId="3" borderId="5" xfId="0" applyFill="1" applyBorder="1"/>
    <xf numFmtId="0" fontId="0" fillId="0" borderId="19" xfId="0" applyFill="1" applyBorder="1" applyAlignment="1">
      <alignment wrapText="1"/>
    </xf>
    <xf numFmtId="0" fontId="0" fillId="0" borderId="22" xfId="0" applyBorder="1"/>
    <xf numFmtId="0" fontId="0" fillId="4" borderId="20" xfId="0" applyFill="1" applyBorder="1"/>
    <xf numFmtId="0" fontId="0" fillId="4" borderId="4" xfId="0" applyFill="1" applyBorder="1"/>
    <xf numFmtId="0" fontId="0" fillId="4" borderId="7" xfId="0" applyFill="1" applyBorder="1"/>
    <xf numFmtId="0" fontId="5" fillId="0" borderId="22" xfId="0" applyFont="1" applyBorder="1" applyAlignment="1"/>
    <xf numFmtId="0" fontId="5" fillId="0" borderId="23" xfId="0" applyFont="1" applyBorder="1" applyAlignment="1"/>
    <xf numFmtId="0" fontId="0" fillId="10" borderId="7" xfId="0" applyFill="1" applyBorder="1"/>
    <xf numFmtId="0" fontId="0" fillId="0" borderId="48" xfId="0" applyBorder="1"/>
    <xf numFmtId="0" fontId="0" fillId="0" borderId="11" xfId="0" applyFill="1" applyBorder="1"/>
    <xf numFmtId="0" fontId="0" fillId="0" borderId="12" xfId="0" applyFill="1" applyBorder="1"/>
    <xf numFmtId="0" fontId="0" fillId="0" borderId="13" xfId="0" applyFill="1" applyBorder="1"/>
    <xf numFmtId="0" fontId="0" fillId="0" borderId="49" xfId="0" applyFill="1" applyBorder="1"/>
    <xf numFmtId="0" fontId="0" fillId="0" borderId="48" xfId="0" applyFill="1" applyBorder="1"/>
    <xf numFmtId="0" fontId="0" fillId="0" borderId="50" xfId="0" applyFill="1" applyBorder="1"/>
    <xf numFmtId="0" fontId="0" fillId="2" borderId="50" xfId="0" applyFill="1" applyBorder="1"/>
    <xf numFmtId="0" fontId="0" fillId="4" borderId="50" xfId="0" applyFill="1" applyBorder="1"/>
    <xf numFmtId="0" fontId="0" fillId="3" borderId="50" xfId="0" applyFill="1" applyBorder="1"/>
    <xf numFmtId="0" fontId="0" fillId="0" borderId="35" xfId="0" applyFill="1" applyBorder="1"/>
    <xf numFmtId="0" fontId="0" fillId="0" borderId="51" xfId="0" applyFill="1" applyBorder="1"/>
    <xf numFmtId="0" fontId="0" fillId="10" borderId="51" xfId="0" applyFill="1" applyBorder="1"/>
    <xf numFmtId="0" fontId="1" fillId="11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3" xfId="0" applyFill="1" applyBorder="1" applyAlignment="1">
      <alignment wrapText="1"/>
    </xf>
    <xf numFmtId="0" fontId="0" fillId="0" borderId="0" xfId="0" applyFill="1" applyBorder="1" applyAlignment="1">
      <alignment vertical="center" wrapText="1"/>
    </xf>
    <xf numFmtId="0" fontId="5" fillId="0" borderId="22" xfId="0" applyFont="1" applyBorder="1" applyAlignment="1">
      <alignment horizontal="left"/>
    </xf>
    <xf numFmtId="0" fontId="5" fillId="0" borderId="23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5" fillId="0" borderId="22" xfId="0" applyFont="1" applyFill="1" applyBorder="1" applyAlignment="1">
      <alignment horizontal="left"/>
    </xf>
    <xf numFmtId="0" fontId="5" fillId="0" borderId="23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1" fillId="0" borderId="3" xfId="0" applyFont="1" applyFill="1" applyBorder="1" applyAlignment="1">
      <alignment horizontal="justify"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justify" vertical="center" wrapText="1"/>
    </xf>
    <xf numFmtId="0" fontId="0" fillId="0" borderId="3" xfId="0" applyFill="1" applyBorder="1" applyAlignment="1">
      <alignment horizontal="justify" vertical="center" wrapText="1"/>
    </xf>
    <xf numFmtId="0" fontId="0" fillId="0" borderId="3" xfId="0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justify" vertical="center" wrapText="1"/>
    </xf>
    <xf numFmtId="0" fontId="1" fillId="0" borderId="3" xfId="0" applyFont="1" applyFill="1" applyBorder="1" applyAlignment="1">
      <alignment wrapText="1"/>
    </xf>
    <xf numFmtId="0" fontId="0" fillId="0" borderId="3" xfId="0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wrapText="1"/>
    </xf>
    <xf numFmtId="0" fontId="1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6"/>
  <sheetViews>
    <sheetView tabSelected="1" zoomScaleNormal="100" workbookViewId="0"/>
  </sheetViews>
  <sheetFormatPr defaultRowHeight="15" x14ac:dyDescent="0.25"/>
  <cols>
    <col min="1" max="2" width="9.140625" style="9"/>
    <col min="3" max="3" width="11" style="9" customWidth="1"/>
    <col min="4" max="4" width="9.140625" style="9"/>
    <col min="5" max="5" width="11" style="9" customWidth="1"/>
    <col min="6" max="6" width="13.140625" style="9" customWidth="1"/>
    <col min="7" max="7" width="10.7109375" style="9" customWidth="1"/>
    <col min="8" max="8" width="9.140625" style="9"/>
    <col min="9" max="16384" width="9.140625" style="2"/>
  </cols>
  <sheetData>
    <row r="1" spans="1:11" ht="45" x14ac:dyDescent="0.25">
      <c r="A1" s="157" t="s">
        <v>874</v>
      </c>
      <c r="B1" s="157" t="s">
        <v>875</v>
      </c>
      <c r="C1" s="157" t="s">
        <v>876</v>
      </c>
      <c r="D1" s="157" t="s">
        <v>877</v>
      </c>
      <c r="E1" s="157" t="s">
        <v>878</v>
      </c>
      <c r="F1" s="157" t="s">
        <v>879</v>
      </c>
      <c r="G1" s="157" t="s">
        <v>880</v>
      </c>
      <c r="H1" s="157" t="s">
        <v>881</v>
      </c>
      <c r="I1" s="1"/>
    </row>
    <row r="2" spans="1:11" ht="90" x14ac:dyDescent="0.25">
      <c r="A2" s="158">
        <v>41</v>
      </c>
      <c r="B2" s="178" t="s">
        <v>21</v>
      </c>
      <c r="C2" s="158" t="s">
        <v>22</v>
      </c>
      <c r="D2" s="158" t="s">
        <v>23</v>
      </c>
      <c r="E2" s="158" t="s">
        <v>13</v>
      </c>
      <c r="F2" s="158" t="s">
        <v>8</v>
      </c>
      <c r="G2" s="42"/>
      <c r="H2" s="42" t="s">
        <v>824</v>
      </c>
    </row>
    <row r="3" spans="1:11" ht="45" x14ac:dyDescent="0.25">
      <c r="A3" s="158">
        <v>41</v>
      </c>
      <c r="B3" s="178" t="s">
        <v>24</v>
      </c>
      <c r="C3" s="158" t="s">
        <v>25</v>
      </c>
      <c r="D3" s="158" t="s">
        <v>26</v>
      </c>
      <c r="E3" s="158" t="s">
        <v>27</v>
      </c>
      <c r="F3" s="158" t="s">
        <v>10</v>
      </c>
      <c r="G3" s="178"/>
      <c r="H3" s="158" t="s">
        <v>825</v>
      </c>
    </row>
    <row r="4" spans="1:11" ht="30" x14ac:dyDescent="0.25">
      <c r="A4" s="158">
        <v>41</v>
      </c>
      <c r="B4" s="178" t="s">
        <v>28</v>
      </c>
      <c r="C4" s="158" t="s">
        <v>25</v>
      </c>
      <c r="D4" s="158" t="s">
        <v>26</v>
      </c>
      <c r="E4" s="158" t="s">
        <v>29</v>
      </c>
      <c r="F4" s="158" t="s">
        <v>10</v>
      </c>
      <c r="G4" s="42"/>
      <c r="H4" s="42" t="s">
        <v>826</v>
      </c>
    </row>
    <row r="5" spans="1:11" ht="75" x14ac:dyDescent="0.25">
      <c r="A5" s="158">
        <v>41</v>
      </c>
      <c r="B5" s="178" t="s">
        <v>30</v>
      </c>
      <c r="C5" s="158" t="s">
        <v>25</v>
      </c>
      <c r="D5" s="158" t="s">
        <v>26</v>
      </c>
      <c r="E5" s="158" t="s">
        <v>27</v>
      </c>
      <c r="F5" s="158" t="s">
        <v>10</v>
      </c>
      <c r="G5" s="42"/>
      <c r="H5" s="42" t="s">
        <v>827</v>
      </c>
    </row>
    <row r="6" spans="1:11" ht="120" x14ac:dyDescent="0.25">
      <c r="A6" s="158">
        <v>41</v>
      </c>
      <c r="B6" s="178" t="s">
        <v>31</v>
      </c>
      <c r="C6" s="158" t="s">
        <v>22</v>
      </c>
      <c r="D6" s="158" t="s">
        <v>23</v>
      </c>
      <c r="E6" s="158" t="s">
        <v>3</v>
      </c>
      <c r="F6" s="158" t="s">
        <v>8</v>
      </c>
      <c r="G6" s="42"/>
      <c r="H6" s="42" t="s">
        <v>824</v>
      </c>
    </row>
    <row r="7" spans="1:11" ht="92.25" x14ac:dyDescent="0.25">
      <c r="A7" s="158">
        <v>41</v>
      </c>
      <c r="B7" s="178" t="s">
        <v>32</v>
      </c>
      <c r="C7" s="158" t="s">
        <v>22</v>
      </c>
      <c r="D7" s="158" t="s">
        <v>33</v>
      </c>
      <c r="E7" s="158" t="s">
        <v>698</v>
      </c>
      <c r="F7" s="158"/>
      <c r="G7" s="42"/>
      <c r="H7" s="42" t="s">
        <v>828</v>
      </c>
    </row>
    <row r="8" spans="1:11" ht="45" x14ac:dyDescent="0.25">
      <c r="A8" s="158">
        <v>41</v>
      </c>
      <c r="B8" s="178" t="s">
        <v>34</v>
      </c>
      <c r="C8" s="158" t="s">
        <v>22</v>
      </c>
      <c r="D8" s="158" t="s">
        <v>23</v>
      </c>
      <c r="E8" s="178" t="s">
        <v>0</v>
      </c>
      <c r="F8" s="178"/>
      <c r="G8" s="160" t="s">
        <v>718</v>
      </c>
      <c r="H8" s="42" t="s">
        <v>829</v>
      </c>
    </row>
    <row r="9" spans="1:11" ht="60" x14ac:dyDescent="0.25">
      <c r="A9" s="158">
        <v>41</v>
      </c>
      <c r="B9" s="178" t="s">
        <v>35</v>
      </c>
      <c r="C9" s="158" t="s">
        <v>36</v>
      </c>
      <c r="D9" s="158" t="s">
        <v>37</v>
      </c>
      <c r="E9" s="158" t="s">
        <v>38</v>
      </c>
      <c r="F9" s="158" t="s">
        <v>39</v>
      </c>
      <c r="G9" s="42"/>
      <c r="H9" s="42" t="s">
        <v>824</v>
      </c>
    </row>
    <row r="10" spans="1:11" ht="30" x14ac:dyDescent="0.25">
      <c r="A10" s="158">
        <v>41</v>
      </c>
      <c r="B10" s="178" t="s">
        <v>40</v>
      </c>
      <c r="C10" s="158" t="s">
        <v>22</v>
      </c>
      <c r="D10" s="158" t="s">
        <v>23</v>
      </c>
      <c r="E10" s="158" t="s">
        <v>3</v>
      </c>
      <c r="F10" s="158" t="s">
        <v>7</v>
      </c>
      <c r="G10" s="178"/>
      <c r="H10" s="178" t="s">
        <v>824</v>
      </c>
      <c r="I10" s="3"/>
      <c r="J10" s="3"/>
      <c r="K10" s="3"/>
    </row>
    <row r="11" spans="1:11" ht="30" x14ac:dyDescent="0.25">
      <c r="A11" s="158">
        <v>41</v>
      </c>
      <c r="B11" s="178" t="s">
        <v>41</v>
      </c>
      <c r="C11" s="158" t="s">
        <v>51</v>
      </c>
      <c r="D11" s="158" t="s">
        <v>706</v>
      </c>
      <c r="E11" s="158"/>
      <c r="F11" s="158" t="s">
        <v>8</v>
      </c>
      <c r="G11" s="42"/>
      <c r="H11" s="42" t="s">
        <v>831</v>
      </c>
    </row>
    <row r="12" spans="1:11" ht="75" x14ac:dyDescent="0.25">
      <c r="A12" s="158">
        <v>41</v>
      </c>
      <c r="B12" s="178" t="s">
        <v>44</v>
      </c>
      <c r="C12" s="158"/>
      <c r="D12" s="158" t="s">
        <v>45</v>
      </c>
      <c r="E12" s="158" t="s">
        <v>496</v>
      </c>
      <c r="F12" s="158"/>
      <c r="G12" s="160" t="s">
        <v>727</v>
      </c>
      <c r="H12" s="42"/>
    </row>
    <row r="13" spans="1:11" ht="30" x14ac:dyDescent="0.25">
      <c r="A13" s="158">
        <v>41</v>
      </c>
      <c r="B13" s="178" t="s">
        <v>46</v>
      </c>
      <c r="C13" s="158" t="s">
        <v>47</v>
      </c>
      <c r="D13" s="158" t="s">
        <v>48</v>
      </c>
      <c r="E13" s="158" t="s">
        <v>49</v>
      </c>
      <c r="F13" s="158"/>
      <c r="G13" s="42"/>
      <c r="H13" s="42" t="s">
        <v>830</v>
      </c>
    </row>
    <row r="14" spans="1:11" ht="30" x14ac:dyDescent="0.25">
      <c r="A14" s="158">
        <v>41</v>
      </c>
      <c r="B14" s="178" t="s">
        <v>50</v>
      </c>
      <c r="C14" s="158" t="s">
        <v>51</v>
      </c>
      <c r="D14" s="158" t="s">
        <v>33</v>
      </c>
      <c r="E14" s="158" t="s">
        <v>12</v>
      </c>
      <c r="F14" s="158"/>
      <c r="G14" s="42"/>
      <c r="H14" s="42" t="s">
        <v>828</v>
      </c>
    </row>
    <row r="15" spans="1:11" ht="30" x14ac:dyDescent="0.25">
      <c r="A15" s="158">
        <v>41</v>
      </c>
      <c r="B15" s="178" t="s">
        <v>52</v>
      </c>
      <c r="C15" s="158"/>
      <c r="D15" s="158" t="s">
        <v>53</v>
      </c>
      <c r="E15" s="158"/>
      <c r="F15" s="158" t="s">
        <v>738</v>
      </c>
      <c r="G15" s="160" t="s">
        <v>688</v>
      </c>
      <c r="H15" s="42"/>
    </row>
    <row r="16" spans="1:11" ht="60" x14ac:dyDescent="0.25">
      <c r="A16" s="158">
        <v>41</v>
      </c>
      <c r="B16" s="178" t="s">
        <v>55</v>
      </c>
      <c r="C16" s="158" t="s">
        <v>22</v>
      </c>
      <c r="D16" s="158" t="s">
        <v>33</v>
      </c>
      <c r="E16" s="158" t="s">
        <v>699</v>
      </c>
      <c r="F16" s="158"/>
      <c r="G16" s="42"/>
      <c r="H16" s="42" t="s">
        <v>828</v>
      </c>
    </row>
    <row r="17" spans="1:8" ht="30" x14ac:dyDescent="0.25">
      <c r="A17" s="158">
        <v>41</v>
      </c>
      <c r="B17" s="178" t="s">
        <v>56</v>
      </c>
      <c r="C17" s="158" t="s">
        <v>57</v>
      </c>
      <c r="D17" s="158" t="s">
        <v>58</v>
      </c>
      <c r="E17" s="158" t="s">
        <v>59</v>
      </c>
      <c r="F17" s="158" t="s">
        <v>60</v>
      </c>
      <c r="G17" s="42"/>
      <c r="H17" s="42" t="s">
        <v>832</v>
      </c>
    </row>
    <row r="18" spans="1:8" ht="60" x14ac:dyDescent="0.25">
      <c r="A18" s="158">
        <v>41</v>
      </c>
      <c r="B18" s="178" t="s">
        <v>61</v>
      </c>
      <c r="C18" s="158" t="s">
        <v>62</v>
      </c>
      <c r="D18" s="158" t="s">
        <v>63</v>
      </c>
      <c r="E18" s="158" t="s">
        <v>699</v>
      </c>
      <c r="F18" s="158"/>
      <c r="G18" s="42"/>
      <c r="H18" s="42" t="s">
        <v>828</v>
      </c>
    </row>
    <row r="19" spans="1:8" ht="75" x14ac:dyDescent="0.25">
      <c r="A19" s="158">
        <v>41</v>
      </c>
      <c r="B19" s="178" t="s">
        <v>64</v>
      </c>
      <c r="C19" s="158" t="s">
        <v>36</v>
      </c>
      <c r="D19" s="158" t="s">
        <v>37</v>
      </c>
      <c r="E19" s="158" t="s">
        <v>131</v>
      </c>
      <c r="F19" s="158" t="s">
        <v>39</v>
      </c>
      <c r="G19" s="42"/>
      <c r="H19" s="42" t="s">
        <v>824</v>
      </c>
    </row>
    <row r="20" spans="1:8" ht="89.25" customHeight="1" x14ac:dyDescent="0.25">
      <c r="A20" s="158">
        <v>41</v>
      </c>
      <c r="B20" s="179" t="s">
        <v>65</v>
      </c>
      <c r="C20" s="180" t="s">
        <v>22</v>
      </c>
      <c r="D20" s="180" t="s">
        <v>23</v>
      </c>
      <c r="E20" s="180" t="s">
        <v>3</v>
      </c>
      <c r="F20" s="180" t="s">
        <v>6</v>
      </c>
      <c r="G20" s="42"/>
      <c r="H20" s="42" t="s">
        <v>824</v>
      </c>
    </row>
    <row r="21" spans="1:8" x14ac:dyDescent="0.25">
      <c r="A21" s="158">
        <v>41</v>
      </c>
      <c r="B21" s="179"/>
      <c r="C21" s="180"/>
      <c r="D21" s="180"/>
      <c r="E21" s="180"/>
      <c r="F21" s="180"/>
      <c r="G21" s="42"/>
      <c r="H21" s="42"/>
    </row>
    <row r="22" spans="1:8" ht="44.25" customHeight="1" x14ac:dyDescent="0.25">
      <c r="A22" s="158">
        <v>41</v>
      </c>
      <c r="B22" s="179" t="s">
        <v>66</v>
      </c>
      <c r="C22" s="180" t="s">
        <v>51</v>
      </c>
      <c r="D22" s="180" t="s">
        <v>23</v>
      </c>
      <c r="E22" s="180" t="s">
        <v>14</v>
      </c>
      <c r="F22" s="180" t="s">
        <v>8</v>
      </c>
      <c r="G22" s="42"/>
      <c r="H22" s="42" t="s">
        <v>824</v>
      </c>
    </row>
    <row r="23" spans="1:8" x14ac:dyDescent="0.25">
      <c r="A23" s="158">
        <v>41</v>
      </c>
      <c r="B23" s="179"/>
      <c r="C23" s="180"/>
      <c r="D23" s="180"/>
      <c r="E23" s="180"/>
      <c r="F23" s="180"/>
      <c r="G23" s="42"/>
      <c r="H23" s="42"/>
    </row>
    <row r="24" spans="1:8" ht="93" customHeight="1" x14ac:dyDescent="0.25">
      <c r="A24" s="158">
        <v>41</v>
      </c>
      <c r="B24" s="181" t="s">
        <v>67</v>
      </c>
      <c r="C24" s="158"/>
      <c r="D24" s="158" t="s">
        <v>68</v>
      </c>
      <c r="E24" s="158" t="s">
        <v>739</v>
      </c>
      <c r="F24" s="158"/>
      <c r="G24" s="160" t="s">
        <v>688</v>
      </c>
      <c r="H24" s="42"/>
    </row>
    <row r="25" spans="1:8" ht="120" x14ac:dyDescent="0.25">
      <c r="A25" s="158">
        <v>41</v>
      </c>
      <c r="B25" s="178" t="s">
        <v>69</v>
      </c>
      <c r="C25" s="158" t="s">
        <v>25</v>
      </c>
      <c r="D25" s="158" t="s">
        <v>26</v>
      </c>
      <c r="E25" s="158" t="s">
        <v>9</v>
      </c>
      <c r="F25" s="158" t="s">
        <v>10</v>
      </c>
      <c r="G25" s="42"/>
      <c r="H25" s="42" t="s">
        <v>825</v>
      </c>
    </row>
    <row r="26" spans="1:8" ht="315" x14ac:dyDescent="0.25">
      <c r="A26" s="158">
        <v>41</v>
      </c>
      <c r="B26" s="178" t="s">
        <v>716</v>
      </c>
      <c r="C26" s="158" t="s">
        <v>25</v>
      </c>
      <c r="D26" s="158" t="s">
        <v>26</v>
      </c>
      <c r="E26" s="158" t="s">
        <v>27</v>
      </c>
      <c r="F26" s="158" t="s">
        <v>10</v>
      </c>
      <c r="G26" s="158" t="s">
        <v>823</v>
      </c>
      <c r="H26" s="158" t="s">
        <v>833</v>
      </c>
    </row>
    <row r="27" spans="1:8" ht="30" x14ac:dyDescent="0.25">
      <c r="A27" s="158">
        <v>41</v>
      </c>
      <c r="B27" s="178" t="s">
        <v>70</v>
      </c>
      <c r="C27" s="158" t="s">
        <v>57</v>
      </c>
      <c r="D27" s="158" t="s">
        <v>58</v>
      </c>
      <c r="E27" s="158" t="s">
        <v>59</v>
      </c>
      <c r="F27" s="158" t="s">
        <v>71</v>
      </c>
      <c r="G27" s="160"/>
      <c r="H27" s="42" t="s">
        <v>832</v>
      </c>
    </row>
    <row r="28" spans="1:8" ht="30" x14ac:dyDescent="0.25">
      <c r="A28" s="158">
        <v>41</v>
      </c>
      <c r="B28" s="178" t="s">
        <v>72</v>
      </c>
      <c r="C28" s="158" t="s">
        <v>25</v>
      </c>
      <c r="D28" s="158" t="s">
        <v>26</v>
      </c>
      <c r="E28" s="158" t="s">
        <v>1</v>
      </c>
      <c r="F28" s="158" t="s">
        <v>10</v>
      </c>
      <c r="G28" s="42"/>
      <c r="H28" s="42" t="s">
        <v>834</v>
      </c>
    </row>
    <row r="29" spans="1:8" ht="90" x14ac:dyDescent="0.25">
      <c r="A29" s="158">
        <v>41</v>
      </c>
      <c r="B29" s="178" t="s">
        <v>73</v>
      </c>
      <c r="C29" s="158" t="s">
        <v>22</v>
      </c>
      <c r="D29" s="158" t="s">
        <v>23</v>
      </c>
      <c r="E29" s="158" t="s">
        <v>13</v>
      </c>
      <c r="F29" s="158" t="s">
        <v>8</v>
      </c>
      <c r="G29" s="42"/>
      <c r="H29" s="42" t="s">
        <v>824</v>
      </c>
    </row>
    <row r="30" spans="1:8" ht="45" x14ac:dyDescent="0.25">
      <c r="A30" s="158">
        <v>41</v>
      </c>
      <c r="B30" s="178" t="s">
        <v>74</v>
      </c>
      <c r="C30" s="158" t="s">
        <v>57</v>
      </c>
      <c r="D30" s="158" t="s">
        <v>58</v>
      </c>
      <c r="E30" s="158" t="s">
        <v>59</v>
      </c>
      <c r="F30" s="158" t="s">
        <v>60</v>
      </c>
      <c r="G30" s="42"/>
      <c r="H30" s="42" t="s">
        <v>835</v>
      </c>
    </row>
    <row r="31" spans="1:8" ht="60" x14ac:dyDescent="0.25">
      <c r="A31" s="158">
        <v>41</v>
      </c>
      <c r="B31" s="178" t="s">
        <v>75</v>
      </c>
      <c r="C31" s="158" t="s">
        <v>62</v>
      </c>
      <c r="D31" s="158" t="s">
        <v>63</v>
      </c>
      <c r="E31" s="158" t="s">
        <v>699</v>
      </c>
      <c r="F31" s="158"/>
      <c r="G31" s="42"/>
      <c r="H31" s="42" t="s">
        <v>828</v>
      </c>
    </row>
    <row r="32" spans="1:8" ht="30" x14ac:dyDescent="0.25">
      <c r="A32" s="158">
        <v>41</v>
      </c>
      <c r="B32" s="178" t="s">
        <v>76</v>
      </c>
      <c r="C32" s="158" t="s">
        <v>22</v>
      </c>
      <c r="D32" s="158" t="s">
        <v>23</v>
      </c>
      <c r="E32" s="158" t="s">
        <v>0</v>
      </c>
      <c r="F32" s="158"/>
      <c r="G32" s="42"/>
      <c r="H32" s="42" t="s">
        <v>836</v>
      </c>
    </row>
    <row r="33" spans="1:8" ht="105" x14ac:dyDescent="0.25">
      <c r="A33" s="158">
        <v>41</v>
      </c>
      <c r="B33" s="178" t="s">
        <v>77</v>
      </c>
      <c r="C33" s="158" t="s">
        <v>62</v>
      </c>
      <c r="D33" s="158" t="s">
        <v>63</v>
      </c>
      <c r="E33" s="158" t="s">
        <v>699</v>
      </c>
      <c r="F33" s="158"/>
      <c r="G33" s="42"/>
      <c r="H33" s="42" t="s">
        <v>828</v>
      </c>
    </row>
    <row r="34" spans="1:8" ht="60" x14ac:dyDescent="0.25">
      <c r="A34" s="158">
        <v>41</v>
      </c>
      <c r="B34" s="182" t="s">
        <v>78</v>
      </c>
      <c r="C34" s="158" t="s">
        <v>22</v>
      </c>
      <c r="D34" s="158" t="s">
        <v>23</v>
      </c>
      <c r="E34" s="158" t="s">
        <v>3</v>
      </c>
      <c r="F34" s="158" t="s">
        <v>8</v>
      </c>
      <c r="G34" s="42"/>
      <c r="H34" s="42" t="s">
        <v>824</v>
      </c>
    </row>
    <row r="35" spans="1:8" ht="92.25" x14ac:dyDescent="0.25">
      <c r="A35" s="158">
        <v>41</v>
      </c>
      <c r="B35" s="182" t="s">
        <v>79</v>
      </c>
      <c r="C35" s="158" t="s">
        <v>22</v>
      </c>
      <c r="D35" s="158" t="s">
        <v>23</v>
      </c>
      <c r="E35" s="158" t="s">
        <v>3</v>
      </c>
      <c r="F35" s="158" t="s">
        <v>8</v>
      </c>
      <c r="G35" s="42"/>
      <c r="H35" s="42" t="s">
        <v>837</v>
      </c>
    </row>
    <row r="36" spans="1:8" ht="62.25" x14ac:dyDescent="0.25">
      <c r="A36" s="158">
        <v>41</v>
      </c>
      <c r="B36" s="182" t="s">
        <v>80</v>
      </c>
      <c r="C36" s="158" t="s">
        <v>36</v>
      </c>
      <c r="D36" s="158" t="s">
        <v>37</v>
      </c>
      <c r="E36" s="158" t="s">
        <v>750</v>
      </c>
      <c r="F36" s="158" t="s">
        <v>39</v>
      </c>
      <c r="G36" s="42"/>
      <c r="H36" s="42" t="s">
        <v>824</v>
      </c>
    </row>
    <row r="37" spans="1:8" x14ac:dyDescent="0.25">
      <c r="A37" s="158">
        <v>41</v>
      </c>
      <c r="B37" s="183" t="s">
        <v>81</v>
      </c>
      <c r="C37" s="180" t="s">
        <v>82</v>
      </c>
      <c r="D37" s="180" t="s">
        <v>26</v>
      </c>
      <c r="E37" s="180" t="s">
        <v>83</v>
      </c>
      <c r="F37" s="158" t="s">
        <v>10</v>
      </c>
      <c r="G37" s="42"/>
      <c r="H37" s="42"/>
    </row>
    <row r="38" spans="1:8" x14ac:dyDescent="0.25">
      <c r="A38" s="158">
        <v>41</v>
      </c>
      <c r="B38" s="183"/>
      <c r="C38" s="180"/>
      <c r="D38" s="180"/>
      <c r="E38" s="180"/>
      <c r="F38" s="158" t="s">
        <v>5</v>
      </c>
      <c r="G38" s="42"/>
      <c r="H38" s="42" t="s">
        <v>825</v>
      </c>
    </row>
    <row r="39" spans="1:8" ht="30" x14ac:dyDescent="0.25">
      <c r="A39" s="158">
        <v>41</v>
      </c>
      <c r="B39" s="182" t="s">
        <v>84</v>
      </c>
      <c r="C39" s="158"/>
      <c r="D39" s="158" t="s">
        <v>45</v>
      </c>
      <c r="E39" s="158" t="s">
        <v>496</v>
      </c>
      <c r="F39" s="158"/>
      <c r="G39" s="160" t="s">
        <v>689</v>
      </c>
      <c r="H39" s="42"/>
    </row>
    <row r="40" spans="1:8" ht="119.25" customHeight="1" x14ac:dyDescent="0.25">
      <c r="A40" s="158">
        <v>41</v>
      </c>
      <c r="B40" s="182" t="s">
        <v>85</v>
      </c>
      <c r="C40" s="158" t="s">
        <v>25</v>
      </c>
      <c r="D40" s="158" t="s">
        <v>26</v>
      </c>
      <c r="E40" s="158" t="s">
        <v>4</v>
      </c>
      <c r="F40" s="158"/>
      <c r="G40" s="42"/>
      <c r="H40" s="42" t="s">
        <v>827</v>
      </c>
    </row>
    <row r="41" spans="1:8" x14ac:dyDescent="0.25">
      <c r="A41" s="158">
        <v>41</v>
      </c>
      <c r="B41" s="182" t="s">
        <v>86</v>
      </c>
      <c r="C41" s="158" t="s">
        <v>25</v>
      </c>
      <c r="D41" s="158" t="s">
        <v>26</v>
      </c>
      <c r="E41" s="158" t="s">
        <v>1</v>
      </c>
      <c r="F41" s="158" t="s">
        <v>2</v>
      </c>
      <c r="G41" s="42"/>
      <c r="H41" s="42" t="s">
        <v>838</v>
      </c>
    </row>
    <row r="42" spans="1:8" ht="45" x14ac:dyDescent="0.25">
      <c r="A42" s="158">
        <v>41</v>
      </c>
      <c r="B42" s="178" t="s">
        <v>87</v>
      </c>
      <c r="C42" s="158" t="s">
        <v>51</v>
      </c>
      <c r="D42" s="158" t="s">
        <v>23</v>
      </c>
      <c r="E42" s="158" t="s">
        <v>3</v>
      </c>
      <c r="F42" s="158" t="s">
        <v>8</v>
      </c>
      <c r="G42" s="42"/>
      <c r="H42" s="42" t="s">
        <v>824</v>
      </c>
    </row>
    <row r="43" spans="1:8" ht="31.5" x14ac:dyDescent="0.25">
      <c r="A43" s="158">
        <v>41</v>
      </c>
      <c r="B43" s="178" t="s">
        <v>88</v>
      </c>
      <c r="C43" s="158"/>
      <c r="D43" s="184" t="s">
        <v>68</v>
      </c>
      <c r="E43" s="158" t="s">
        <v>739</v>
      </c>
      <c r="F43" s="158"/>
      <c r="G43" s="160" t="s">
        <v>688</v>
      </c>
      <c r="H43" s="42"/>
    </row>
    <row r="44" spans="1:8" ht="75" x14ac:dyDescent="0.25">
      <c r="A44" s="158">
        <v>41</v>
      </c>
      <c r="B44" s="178" t="s">
        <v>89</v>
      </c>
      <c r="C44" s="158" t="s">
        <v>22</v>
      </c>
      <c r="D44" s="158" t="s">
        <v>23</v>
      </c>
      <c r="E44" s="158" t="s">
        <v>3</v>
      </c>
      <c r="F44" s="158" t="s">
        <v>8</v>
      </c>
      <c r="G44" s="42"/>
      <c r="H44" s="42" t="s">
        <v>824</v>
      </c>
    </row>
    <row r="45" spans="1:8" ht="30" x14ac:dyDescent="0.25">
      <c r="A45" s="158">
        <v>41</v>
      </c>
      <c r="B45" s="178" t="s">
        <v>90</v>
      </c>
      <c r="C45" s="158" t="s">
        <v>25</v>
      </c>
      <c r="D45" s="158" t="s">
        <v>26</v>
      </c>
      <c r="E45" s="158" t="s">
        <v>4</v>
      </c>
      <c r="F45" s="158"/>
      <c r="G45" s="42"/>
      <c r="H45" s="42" t="s">
        <v>826</v>
      </c>
    </row>
    <row r="46" spans="1:8" ht="30" x14ac:dyDescent="0.25">
      <c r="A46" s="158">
        <v>41</v>
      </c>
      <c r="B46" s="178" t="s">
        <v>91</v>
      </c>
      <c r="C46" s="158" t="s">
        <v>51</v>
      </c>
      <c r="D46" s="158" t="s">
        <v>23</v>
      </c>
      <c r="E46" s="158" t="s">
        <v>3</v>
      </c>
      <c r="F46" s="158"/>
      <c r="G46" s="42"/>
      <c r="H46" s="42" t="s">
        <v>824</v>
      </c>
    </row>
    <row r="47" spans="1:8" ht="30" x14ac:dyDescent="0.25">
      <c r="A47" s="158">
        <v>41</v>
      </c>
      <c r="B47" s="178" t="s">
        <v>92</v>
      </c>
      <c r="C47" s="158"/>
      <c r="D47" s="158" t="s">
        <v>45</v>
      </c>
      <c r="E47" s="158" t="s">
        <v>740</v>
      </c>
      <c r="F47" s="158"/>
      <c r="G47" s="160" t="s">
        <v>688</v>
      </c>
      <c r="H47" s="42"/>
    </row>
    <row r="48" spans="1:8" ht="60" x14ac:dyDescent="0.25">
      <c r="A48" s="158">
        <v>42</v>
      </c>
      <c r="B48" s="178" t="s">
        <v>93</v>
      </c>
      <c r="C48" s="158" t="s">
        <v>94</v>
      </c>
      <c r="D48" s="158" t="s">
        <v>95</v>
      </c>
      <c r="E48" s="158" t="s">
        <v>96</v>
      </c>
      <c r="F48" s="158" t="s">
        <v>97</v>
      </c>
      <c r="G48" s="42"/>
      <c r="H48" s="42" t="s">
        <v>839</v>
      </c>
    </row>
    <row r="49" spans="1:8" ht="30" customHeight="1" x14ac:dyDescent="0.25">
      <c r="A49" s="158">
        <v>42</v>
      </c>
      <c r="B49" s="178" t="s">
        <v>98</v>
      </c>
      <c r="C49" s="158" t="s">
        <v>25</v>
      </c>
      <c r="D49" s="158" t="s">
        <v>26</v>
      </c>
      <c r="E49" s="158" t="s">
        <v>4</v>
      </c>
      <c r="F49" s="158"/>
      <c r="G49" s="42"/>
      <c r="H49" s="42" t="s">
        <v>826</v>
      </c>
    </row>
    <row r="50" spans="1:8" ht="60" x14ac:dyDescent="0.25">
      <c r="A50" s="158">
        <v>42</v>
      </c>
      <c r="B50" s="178" t="s">
        <v>99</v>
      </c>
      <c r="C50" s="158" t="s">
        <v>22</v>
      </c>
      <c r="D50" s="158" t="s">
        <v>23</v>
      </c>
      <c r="E50" s="158" t="s">
        <v>3</v>
      </c>
      <c r="F50" s="158" t="s">
        <v>8</v>
      </c>
      <c r="G50" s="42"/>
      <c r="H50" s="42" t="s">
        <v>840</v>
      </c>
    </row>
    <row r="51" spans="1:8" ht="60" x14ac:dyDescent="0.25">
      <c r="A51" s="158">
        <v>42</v>
      </c>
      <c r="B51" s="178" t="s">
        <v>100</v>
      </c>
      <c r="C51" s="158" t="s">
        <v>22</v>
      </c>
      <c r="D51" s="158" t="s">
        <v>23</v>
      </c>
      <c r="E51" s="158" t="s">
        <v>3</v>
      </c>
      <c r="F51" s="158" t="s">
        <v>8</v>
      </c>
      <c r="G51" s="42"/>
      <c r="H51" s="42" t="s">
        <v>824</v>
      </c>
    </row>
    <row r="52" spans="1:8" ht="30" x14ac:dyDescent="0.25">
      <c r="A52" s="158">
        <v>42</v>
      </c>
      <c r="B52" s="178" t="s">
        <v>101</v>
      </c>
      <c r="C52" s="158" t="s">
        <v>25</v>
      </c>
      <c r="D52" s="158" t="s">
        <v>26</v>
      </c>
      <c r="E52" s="158" t="s">
        <v>4</v>
      </c>
      <c r="F52" s="158"/>
      <c r="G52" s="42"/>
      <c r="H52" s="42" t="s">
        <v>826</v>
      </c>
    </row>
    <row r="53" spans="1:8" ht="30" x14ac:dyDescent="0.25">
      <c r="A53" s="158">
        <v>42</v>
      </c>
      <c r="B53" s="178" t="s">
        <v>102</v>
      </c>
      <c r="C53" s="158" t="s">
        <v>103</v>
      </c>
      <c r="D53" s="158" t="s">
        <v>42</v>
      </c>
      <c r="E53" s="158"/>
      <c r="F53" s="158" t="s">
        <v>104</v>
      </c>
      <c r="G53" s="42"/>
      <c r="H53" s="42" t="s">
        <v>42</v>
      </c>
    </row>
    <row r="54" spans="1:8" ht="30" x14ac:dyDescent="0.25">
      <c r="A54" s="158">
        <v>42</v>
      </c>
      <c r="B54" s="178" t="s">
        <v>105</v>
      </c>
      <c r="C54" s="158" t="s">
        <v>25</v>
      </c>
      <c r="D54" s="158" t="s">
        <v>26</v>
      </c>
      <c r="E54" s="158" t="s">
        <v>1</v>
      </c>
      <c r="F54" s="158" t="s">
        <v>2</v>
      </c>
      <c r="G54" s="42"/>
      <c r="H54" s="42" t="s">
        <v>827</v>
      </c>
    </row>
    <row r="55" spans="1:8" ht="30" x14ac:dyDescent="0.25">
      <c r="A55" s="158">
        <v>42</v>
      </c>
      <c r="B55" s="178" t="s">
        <v>106</v>
      </c>
      <c r="C55" s="158" t="s">
        <v>47</v>
      </c>
      <c r="D55" s="158" t="s">
        <v>48</v>
      </c>
      <c r="E55" s="158" t="s">
        <v>49</v>
      </c>
      <c r="F55" s="158"/>
      <c r="G55" s="42"/>
      <c r="H55" s="42" t="s">
        <v>830</v>
      </c>
    </row>
    <row r="56" spans="1:8" ht="60" x14ac:dyDescent="0.25">
      <c r="A56" s="158">
        <v>42</v>
      </c>
      <c r="B56" s="178" t="s">
        <v>107</v>
      </c>
      <c r="C56" s="158" t="s">
        <v>22</v>
      </c>
      <c r="D56" s="158" t="s">
        <v>33</v>
      </c>
      <c r="E56" s="158" t="s">
        <v>699</v>
      </c>
      <c r="F56" s="158"/>
      <c r="G56" s="42"/>
      <c r="H56" s="42" t="s">
        <v>828</v>
      </c>
    </row>
    <row r="57" spans="1:8" ht="45" x14ac:dyDescent="0.25">
      <c r="A57" s="158">
        <v>42</v>
      </c>
      <c r="B57" s="178" t="s">
        <v>108</v>
      </c>
      <c r="C57" s="158" t="s">
        <v>25</v>
      </c>
      <c r="D57" s="158" t="s">
        <v>109</v>
      </c>
      <c r="E57" s="158"/>
      <c r="F57" s="158" t="s">
        <v>110</v>
      </c>
      <c r="G57" s="160" t="s">
        <v>720</v>
      </c>
      <c r="H57" s="42" t="s">
        <v>841</v>
      </c>
    </row>
    <row r="58" spans="1:8" ht="30" x14ac:dyDescent="0.25">
      <c r="A58" s="158">
        <v>42</v>
      </c>
      <c r="B58" s="178" t="s">
        <v>111</v>
      </c>
      <c r="C58" s="158" t="s">
        <v>51</v>
      </c>
      <c r="D58" s="158" t="s">
        <v>33</v>
      </c>
      <c r="E58" s="158" t="s">
        <v>698</v>
      </c>
      <c r="F58" s="158"/>
      <c r="G58" s="42"/>
      <c r="H58" s="42" t="s">
        <v>842</v>
      </c>
    </row>
    <row r="59" spans="1:8" ht="60" x14ac:dyDescent="0.25">
      <c r="A59" s="158">
        <v>42</v>
      </c>
      <c r="B59" s="178" t="s">
        <v>112</v>
      </c>
      <c r="C59" s="158"/>
      <c r="D59" s="158" t="s">
        <v>45</v>
      </c>
      <c r="E59" s="158" t="s">
        <v>741</v>
      </c>
      <c r="F59" s="158"/>
      <c r="G59" s="160" t="s">
        <v>688</v>
      </c>
      <c r="H59" s="42"/>
    </row>
    <row r="60" spans="1:8" ht="45" x14ac:dyDescent="0.25">
      <c r="A60" s="158">
        <v>42</v>
      </c>
      <c r="B60" s="178" t="s">
        <v>113</v>
      </c>
      <c r="C60" s="158" t="s">
        <v>22</v>
      </c>
      <c r="D60" s="158" t="s">
        <v>23</v>
      </c>
      <c r="E60" s="158" t="s">
        <v>3</v>
      </c>
      <c r="F60" s="158" t="s">
        <v>8</v>
      </c>
      <c r="G60" s="42"/>
      <c r="H60" s="42" t="s">
        <v>824</v>
      </c>
    </row>
    <row r="61" spans="1:8" ht="75" x14ac:dyDescent="0.25">
      <c r="A61" s="158">
        <v>42</v>
      </c>
      <c r="B61" s="178" t="s">
        <v>114</v>
      </c>
      <c r="C61" s="158" t="s">
        <v>25</v>
      </c>
      <c r="D61" s="158" t="s">
        <v>26</v>
      </c>
      <c r="E61" s="158" t="s">
        <v>9</v>
      </c>
      <c r="F61" s="158" t="s">
        <v>5</v>
      </c>
      <c r="G61" s="42"/>
      <c r="H61" s="42" t="s">
        <v>825</v>
      </c>
    </row>
    <row r="62" spans="1:8" ht="60" x14ac:dyDescent="0.25">
      <c r="A62" s="158">
        <v>42</v>
      </c>
      <c r="B62" s="178" t="s">
        <v>115</v>
      </c>
      <c r="C62" s="158" t="s">
        <v>25</v>
      </c>
      <c r="D62" s="158" t="s">
        <v>26</v>
      </c>
      <c r="E62" s="158" t="s">
        <v>27</v>
      </c>
      <c r="F62" s="158" t="s">
        <v>5</v>
      </c>
      <c r="G62" s="42"/>
      <c r="H62" s="42" t="s">
        <v>825</v>
      </c>
    </row>
    <row r="63" spans="1:8" ht="45" x14ac:dyDescent="0.25">
      <c r="A63" s="158">
        <v>42</v>
      </c>
      <c r="B63" s="178" t="s">
        <v>116</v>
      </c>
      <c r="C63" s="158" t="s">
        <v>25</v>
      </c>
      <c r="D63" s="158" t="s">
        <v>26</v>
      </c>
      <c r="E63" s="158" t="s">
        <v>27</v>
      </c>
      <c r="F63" s="158" t="s">
        <v>10</v>
      </c>
      <c r="G63" s="42"/>
      <c r="H63" s="42" t="s">
        <v>825</v>
      </c>
    </row>
    <row r="64" spans="1:8" ht="90" x14ac:dyDescent="0.25">
      <c r="A64" s="158">
        <v>42</v>
      </c>
      <c r="B64" s="178" t="s">
        <v>117</v>
      </c>
      <c r="C64" s="158" t="s">
        <v>25</v>
      </c>
      <c r="D64" s="158" t="s">
        <v>26</v>
      </c>
      <c r="E64" s="158" t="s">
        <v>27</v>
      </c>
      <c r="F64" s="158" t="s">
        <v>10</v>
      </c>
      <c r="G64" s="42"/>
      <c r="H64" s="42" t="s">
        <v>843</v>
      </c>
    </row>
    <row r="65" spans="1:8" ht="30" x14ac:dyDescent="0.25">
      <c r="A65" s="158">
        <v>42</v>
      </c>
      <c r="B65" s="178" t="s">
        <v>118</v>
      </c>
      <c r="C65" s="158" t="s">
        <v>25</v>
      </c>
      <c r="D65" s="158" t="s">
        <v>26</v>
      </c>
      <c r="E65" s="158" t="s">
        <v>4</v>
      </c>
      <c r="F65" s="158"/>
      <c r="G65" s="42"/>
      <c r="H65" s="42" t="s">
        <v>827</v>
      </c>
    </row>
    <row r="66" spans="1:8" ht="75" x14ac:dyDescent="0.25">
      <c r="A66" s="158">
        <v>42</v>
      </c>
      <c r="B66" s="178" t="s">
        <v>119</v>
      </c>
      <c r="C66" s="158" t="s">
        <v>25</v>
      </c>
      <c r="D66" s="158" t="s">
        <v>26</v>
      </c>
      <c r="E66" s="158" t="s">
        <v>27</v>
      </c>
      <c r="F66" s="158" t="s">
        <v>10</v>
      </c>
      <c r="G66" s="42"/>
      <c r="H66" s="42" t="s">
        <v>825</v>
      </c>
    </row>
    <row r="67" spans="1:8" ht="75" x14ac:dyDescent="0.25">
      <c r="A67" s="158">
        <v>42</v>
      </c>
      <c r="B67" s="178" t="s">
        <v>681</v>
      </c>
      <c r="C67" s="158" t="s">
        <v>57</v>
      </c>
      <c r="D67" s="158" t="s">
        <v>58</v>
      </c>
      <c r="E67" s="158" t="s">
        <v>59</v>
      </c>
      <c r="F67" s="158" t="s">
        <v>60</v>
      </c>
      <c r="G67" s="42"/>
      <c r="H67" s="42" t="s">
        <v>832</v>
      </c>
    </row>
    <row r="68" spans="1:8" ht="105" x14ac:dyDescent="0.25">
      <c r="A68" s="158">
        <v>42</v>
      </c>
      <c r="B68" s="178" t="s">
        <v>120</v>
      </c>
      <c r="C68" s="158" t="s">
        <v>22</v>
      </c>
      <c r="D68" s="158" t="s">
        <v>23</v>
      </c>
      <c r="E68" s="158" t="s">
        <v>3</v>
      </c>
      <c r="F68" s="158" t="s">
        <v>8</v>
      </c>
      <c r="G68" s="42"/>
      <c r="H68" s="42" t="s">
        <v>824</v>
      </c>
    </row>
    <row r="69" spans="1:8" ht="64.5" x14ac:dyDescent="0.25">
      <c r="A69" s="158">
        <v>42</v>
      </c>
      <c r="B69" s="178" t="s">
        <v>121</v>
      </c>
      <c r="C69" s="158" t="s">
        <v>25</v>
      </c>
      <c r="D69" s="158" t="s">
        <v>26</v>
      </c>
      <c r="E69" s="158" t="s">
        <v>11</v>
      </c>
      <c r="F69" s="158" t="s">
        <v>10</v>
      </c>
      <c r="G69" s="42"/>
      <c r="H69" s="42" t="s">
        <v>843</v>
      </c>
    </row>
    <row r="70" spans="1:8" ht="90" x14ac:dyDescent="0.25">
      <c r="A70" s="158">
        <v>42</v>
      </c>
      <c r="B70" s="178" t="s">
        <v>122</v>
      </c>
      <c r="C70" s="158" t="s">
        <v>25</v>
      </c>
      <c r="D70" s="158" t="s">
        <v>26</v>
      </c>
      <c r="E70" s="158" t="s">
        <v>27</v>
      </c>
      <c r="F70" s="158" t="s">
        <v>5</v>
      </c>
      <c r="G70" s="42"/>
      <c r="H70" s="42" t="s">
        <v>825</v>
      </c>
    </row>
    <row r="71" spans="1:8" ht="45" x14ac:dyDescent="0.25">
      <c r="A71" s="158">
        <v>42</v>
      </c>
      <c r="B71" s="178" t="s">
        <v>123</v>
      </c>
      <c r="C71" s="158" t="s">
        <v>51</v>
      </c>
      <c r="D71" s="158" t="s">
        <v>23</v>
      </c>
      <c r="E71" s="158" t="s">
        <v>3</v>
      </c>
      <c r="F71" s="158" t="s">
        <v>8</v>
      </c>
      <c r="G71" s="158" t="s">
        <v>684</v>
      </c>
      <c r="H71" s="158" t="s">
        <v>831</v>
      </c>
    </row>
    <row r="72" spans="1:8" ht="45" x14ac:dyDescent="0.25">
      <c r="A72" s="158">
        <v>42</v>
      </c>
      <c r="B72" s="178" t="s">
        <v>124</v>
      </c>
      <c r="C72" s="158"/>
      <c r="D72" s="158" t="s">
        <v>68</v>
      </c>
      <c r="E72" s="158" t="s">
        <v>742</v>
      </c>
      <c r="F72" s="158" t="s">
        <v>743</v>
      </c>
      <c r="G72" s="160" t="s">
        <v>690</v>
      </c>
      <c r="H72" s="42"/>
    </row>
    <row r="73" spans="1:8" ht="105" x14ac:dyDescent="0.25">
      <c r="A73" s="158">
        <v>42</v>
      </c>
      <c r="B73" s="178" t="s">
        <v>125</v>
      </c>
      <c r="C73" s="158" t="s">
        <v>22</v>
      </c>
      <c r="D73" s="158" t="s">
        <v>33</v>
      </c>
      <c r="E73" s="158" t="s">
        <v>751</v>
      </c>
      <c r="F73" s="158"/>
      <c r="G73" s="42"/>
      <c r="H73" s="42" t="s">
        <v>828</v>
      </c>
    </row>
    <row r="74" spans="1:8" ht="30" x14ac:dyDescent="0.25">
      <c r="A74" s="158">
        <v>42</v>
      </c>
      <c r="B74" s="178" t="s">
        <v>52</v>
      </c>
      <c r="C74" s="158" t="s">
        <v>103</v>
      </c>
      <c r="D74" s="158" t="s">
        <v>42</v>
      </c>
      <c r="E74" s="158"/>
      <c r="F74" s="158" t="s">
        <v>104</v>
      </c>
      <c r="G74" s="42"/>
      <c r="H74" s="42" t="s">
        <v>42</v>
      </c>
    </row>
    <row r="75" spans="1:8" ht="409.5" x14ac:dyDescent="0.25">
      <c r="A75" s="158" t="s">
        <v>126</v>
      </c>
      <c r="B75" s="178" t="s">
        <v>127</v>
      </c>
      <c r="C75" s="158" t="s">
        <v>22</v>
      </c>
      <c r="D75" s="158" t="s">
        <v>33</v>
      </c>
      <c r="E75" s="158" t="s">
        <v>700</v>
      </c>
      <c r="F75" s="158"/>
      <c r="G75" s="42"/>
      <c r="H75" s="42" t="s">
        <v>828</v>
      </c>
    </row>
    <row r="76" spans="1:8" ht="30" x14ac:dyDescent="0.25">
      <c r="A76" s="158">
        <v>43</v>
      </c>
      <c r="B76" s="178" t="s">
        <v>128</v>
      </c>
      <c r="C76" s="158" t="s">
        <v>22</v>
      </c>
      <c r="D76" s="158" t="s">
        <v>706</v>
      </c>
      <c r="E76" s="158"/>
      <c r="F76" s="158" t="s">
        <v>54</v>
      </c>
      <c r="G76" s="42"/>
      <c r="H76" s="42" t="s">
        <v>824</v>
      </c>
    </row>
    <row r="77" spans="1:8" ht="60" x14ac:dyDescent="0.25">
      <c r="A77" s="158">
        <v>43</v>
      </c>
      <c r="B77" s="178" t="s">
        <v>129</v>
      </c>
      <c r="C77" s="158" t="s">
        <v>51</v>
      </c>
      <c r="D77" s="158" t="s">
        <v>23</v>
      </c>
      <c r="E77" s="158" t="s">
        <v>3</v>
      </c>
      <c r="F77" s="158" t="s">
        <v>6</v>
      </c>
      <c r="G77" s="185" t="s">
        <v>687</v>
      </c>
      <c r="H77" s="42" t="s">
        <v>831</v>
      </c>
    </row>
    <row r="78" spans="1:8" ht="60" x14ac:dyDescent="0.25">
      <c r="A78" s="158">
        <v>43</v>
      </c>
      <c r="B78" s="178" t="s">
        <v>130</v>
      </c>
      <c r="C78" s="158" t="s">
        <v>36</v>
      </c>
      <c r="D78" s="158" t="s">
        <v>37</v>
      </c>
      <c r="E78" s="158" t="s">
        <v>131</v>
      </c>
      <c r="F78" s="158" t="s">
        <v>39</v>
      </c>
      <c r="G78" s="42"/>
      <c r="H78" s="42" t="s">
        <v>824</v>
      </c>
    </row>
    <row r="79" spans="1:8" ht="150" x14ac:dyDescent="0.25">
      <c r="A79" s="158">
        <v>43</v>
      </c>
      <c r="B79" s="178" t="s">
        <v>132</v>
      </c>
      <c r="C79" s="158" t="s">
        <v>36</v>
      </c>
      <c r="D79" s="158" t="s">
        <v>37</v>
      </c>
      <c r="E79" s="158" t="s">
        <v>38</v>
      </c>
      <c r="F79" s="158" t="s">
        <v>39</v>
      </c>
      <c r="G79" s="42"/>
      <c r="H79" s="42" t="s">
        <v>824</v>
      </c>
    </row>
    <row r="80" spans="1:8" ht="30" x14ac:dyDescent="0.25">
      <c r="A80" s="158">
        <v>43</v>
      </c>
      <c r="B80" s="178" t="s">
        <v>133</v>
      </c>
      <c r="C80" s="158" t="s">
        <v>25</v>
      </c>
      <c r="D80" s="158" t="s">
        <v>26</v>
      </c>
      <c r="E80" s="158" t="s">
        <v>4</v>
      </c>
      <c r="F80" s="158"/>
      <c r="G80" s="42"/>
      <c r="H80" s="42" t="s">
        <v>826</v>
      </c>
    </row>
    <row r="81" spans="1:8" ht="30" x14ac:dyDescent="0.25">
      <c r="A81" s="158">
        <v>43</v>
      </c>
      <c r="B81" s="178" t="s">
        <v>134</v>
      </c>
      <c r="C81" s="158" t="s">
        <v>25</v>
      </c>
      <c r="D81" s="158" t="s">
        <v>26</v>
      </c>
      <c r="E81" s="158" t="s">
        <v>4</v>
      </c>
      <c r="F81" s="158"/>
      <c r="G81" s="42"/>
      <c r="H81" s="42" t="s">
        <v>834</v>
      </c>
    </row>
    <row r="82" spans="1:8" ht="30" x14ac:dyDescent="0.25">
      <c r="A82" s="158">
        <v>43</v>
      </c>
      <c r="B82" s="178" t="s">
        <v>135</v>
      </c>
      <c r="C82" s="158" t="s">
        <v>22</v>
      </c>
      <c r="D82" s="158" t="s">
        <v>23</v>
      </c>
      <c r="E82" s="158" t="s">
        <v>3</v>
      </c>
      <c r="F82" s="158" t="s">
        <v>8</v>
      </c>
      <c r="G82" s="42"/>
      <c r="H82" s="42" t="s">
        <v>840</v>
      </c>
    </row>
    <row r="83" spans="1:8" ht="60" x14ac:dyDescent="0.25">
      <c r="A83" s="158">
        <v>43</v>
      </c>
      <c r="B83" s="178" t="s">
        <v>136</v>
      </c>
      <c r="C83" s="158" t="s">
        <v>22</v>
      </c>
      <c r="D83" s="158" t="s">
        <v>33</v>
      </c>
      <c r="E83" s="158" t="s">
        <v>699</v>
      </c>
      <c r="F83" s="158"/>
      <c r="G83" s="42"/>
      <c r="H83" s="42" t="s">
        <v>828</v>
      </c>
    </row>
    <row r="84" spans="1:8" ht="30" x14ac:dyDescent="0.25">
      <c r="A84" s="158">
        <v>43</v>
      </c>
      <c r="B84" s="178" t="s">
        <v>137</v>
      </c>
      <c r="C84" s="158" t="s">
        <v>47</v>
      </c>
      <c r="D84" s="158" t="s">
        <v>48</v>
      </c>
      <c r="E84" s="158" t="s">
        <v>49</v>
      </c>
      <c r="F84" s="158"/>
      <c r="G84" s="42"/>
      <c r="H84" s="42" t="s">
        <v>844</v>
      </c>
    </row>
    <row r="85" spans="1:8" ht="149.25" customHeight="1" x14ac:dyDescent="0.25">
      <c r="A85" s="158">
        <v>43</v>
      </c>
      <c r="B85" s="186" t="s">
        <v>138</v>
      </c>
      <c r="C85" s="180" t="s">
        <v>51</v>
      </c>
      <c r="D85" s="180" t="s">
        <v>33</v>
      </c>
      <c r="E85" s="158" t="s">
        <v>12</v>
      </c>
      <c r="F85" s="180"/>
      <c r="G85" s="42"/>
      <c r="H85" s="42" t="s">
        <v>828</v>
      </c>
    </row>
    <row r="86" spans="1:8" ht="30" x14ac:dyDescent="0.25">
      <c r="A86" s="158">
        <v>43</v>
      </c>
      <c r="B86" s="186"/>
      <c r="C86" s="180"/>
      <c r="D86" s="180"/>
      <c r="E86" s="158" t="s">
        <v>3</v>
      </c>
      <c r="F86" s="180"/>
      <c r="G86" s="42"/>
      <c r="H86" s="42"/>
    </row>
    <row r="87" spans="1:8" ht="30" x14ac:dyDescent="0.25">
      <c r="A87" s="158">
        <v>43</v>
      </c>
      <c r="B87" s="178" t="s">
        <v>139</v>
      </c>
      <c r="C87" s="158"/>
      <c r="D87" s="158" t="s">
        <v>68</v>
      </c>
      <c r="E87" s="158" t="s">
        <v>0</v>
      </c>
      <c r="F87" s="158"/>
      <c r="G87" s="160" t="s">
        <v>688</v>
      </c>
      <c r="H87" s="42"/>
    </row>
    <row r="88" spans="1:8" ht="180" x14ac:dyDescent="0.25">
      <c r="A88" s="158">
        <v>43</v>
      </c>
      <c r="B88" s="178" t="s">
        <v>140</v>
      </c>
      <c r="C88" s="158" t="s">
        <v>82</v>
      </c>
      <c r="D88" s="158" t="s">
        <v>109</v>
      </c>
      <c r="E88" s="158"/>
      <c r="F88" s="158" t="s">
        <v>10</v>
      </c>
      <c r="G88" s="160" t="s">
        <v>720</v>
      </c>
      <c r="H88" s="42" t="s">
        <v>841</v>
      </c>
    </row>
    <row r="89" spans="1:8" ht="75" x14ac:dyDescent="0.25">
      <c r="A89" s="158">
        <v>43</v>
      </c>
      <c r="B89" s="178" t="s">
        <v>726</v>
      </c>
      <c r="C89" s="158"/>
      <c r="D89" s="158" t="s">
        <v>68</v>
      </c>
      <c r="E89" s="158" t="s">
        <v>739</v>
      </c>
      <c r="F89" s="158"/>
      <c r="G89" s="160" t="s">
        <v>733</v>
      </c>
      <c r="H89" s="42"/>
    </row>
    <row r="90" spans="1:8" ht="60" x14ac:dyDescent="0.25">
      <c r="A90" s="158">
        <v>43</v>
      </c>
      <c r="B90" s="178" t="s">
        <v>141</v>
      </c>
      <c r="C90" s="158" t="s">
        <v>62</v>
      </c>
      <c r="D90" s="158" t="s">
        <v>63</v>
      </c>
      <c r="E90" s="158" t="s">
        <v>699</v>
      </c>
      <c r="F90" s="158"/>
      <c r="G90" s="42"/>
      <c r="H90" s="42" t="s">
        <v>828</v>
      </c>
    </row>
    <row r="91" spans="1:8" ht="77.25" x14ac:dyDescent="0.25">
      <c r="A91" s="158">
        <v>43</v>
      </c>
      <c r="B91" s="178" t="s">
        <v>142</v>
      </c>
      <c r="C91" s="158" t="s">
        <v>36</v>
      </c>
      <c r="D91" s="158" t="s">
        <v>37</v>
      </c>
      <c r="E91" s="158" t="s">
        <v>38</v>
      </c>
      <c r="F91" s="158" t="s">
        <v>307</v>
      </c>
      <c r="G91" s="42"/>
      <c r="H91" s="42" t="s">
        <v>831</v>
      </c>
    </row>
    <row r="92" spans="1:8" ht="90" x14ac:dyDescent="0.25">
      <c r="A92" s="158">
        <v>43</v>
      </c>
      <c r="B92" s="178" t="s">
        <v>144</v>
      </c>
      <c r="C92" s="158" t="s">
        <v>36</v>
      </c>
      <c r="D92" s="158" t="s">
        <v>37</v>
      </c>
      <c r="E92" s="158" t="s">
        <v>131</v>
      </c>
      <c r="F92" s="158" t="s">
        <v>39</v>
      </c>
      <c r="G92" s="42"/>
      <c r="H92" s="42" t="s">
        <v>824</v>
      </c>
    </row>
    <row r="93" spans="1:8" ht="45" x14ac:dyDescent="0.25">
      <c r="A93" s="158">
        <v>43</v>
      </c>
      <c r="B93" s="178" t="s">
        <v>145</v>
      </c>
      <c r="C93" s="158" t="s">
        <v>348</v>
      </c>
      <c r="D93" s="158" t="s">
        <v>37</v>
      </c>
      <c r="E93" s="158" t="s">
        <v>131</v>
      </c>
      <c r="F93" s="158" t="s">
        <v>39</v>
      </c>
      <c r="G93" s="42"/>
      <c r="H93" s="42" t="s">
        <v>824</v>
      </c>
    </row>
    <row r="94" spans="1:8" ht="30" x14ac:dyDescent="0.25">
      <c r="A94" s="158">
        <v>43</v>
      </c>
      <c r="B94" s="178" t="s">
        <v>147</v>
      </c>
      <c r="C94" s="158"/>
      <c r="D94" s="158" t="s">
        <v>68</v>
      </c>
      <c r="E94" s="158" t="s">
        <v>739</v>
      </c>
      <c r="F94" s="158"/>
      <c r="G94" s="160" t="s">
        <v>688</v>
      </c>
      <c r="H94" s="42"/>
    </row>
    <row r="95" spans="1:8" ht="60" x14ac:dyDescent="0.25">
      <c r="A95" s="158">
        <v>43</v>
      </c>
      <c r="B95" s="178" t="s">
        <v>148</v>
      </c>
      <c r="C95" s="158" t="s">
        <v>149</v>
      </c>
      <c r="D95" s="158" t="s">
        <v>33</v>
      </c>
      <c r="E95" s="158" t="s">
        <v>699</v>
      </c>
      <c r="F95" s="158"/>
      <c r="G95" s="42"/>
      <c r="H95" s="42" t="s">
        <v>828</v>
      </c>
    </row>
    <row r="96" spans="1:8" ht="30" x14ac:dyDescent="0.25">
      <c r="A96" s="158">
        <v>43</v>
      </c>
      <c r="B96" s="178" t="s">
        <v>150</v>
      </c>
      <c r="C96" s="158"/>
      <c r="D96" s="158" t="s">
        <v>45</v>
      </c>
      <c r="E96" s="158" t="s">
        <v>496</v>
      </c>
      <c r="F96" s="158"/>
      <c r="G96" s="160" t="s">
        <v>688</v>
      </c>
      <c r="H96" s="42"/>
    </row>
    <row r="97" spans="1:8" ht="30" customHeight="1" x14ac:dyDescent="0.25">
      <c r="A97" s="158">
        <v>43</v>
      </c>
      <c r="B97" s="178" t="s">
        <v>151</v>
      </c>
      <c r="C97" s="158"/>
      <c r="D97" s="158" t="s">
        <v>53</v>
      </c>
      <c r="E97" s="158"/>
      <c r="F97" s="158" t="s">
        <v>738</v>
      </c>
      <c r="G97" s="160" t="s">
        <v>688</v>
      </c>
      <c r="H97" s="42"/>
    </row>
    <row r="98" spans="1:8" ht="105" x14ac:dyDescent="0.25">
      <c r="A98" s="158">
        <v>43</v>
      </c>
      <c r="B98" s="178" t="s">
        <v>152</v>
      </c>
      <c r="C98" s="158" t="s">
        <v>25</v>
      </c>
      <c r="D98" s="158" t="s">
        <v>26</v>
      </c>
      <c r="E98" s="158" t="s">
        <v>9</v>
      </c>
      <c r="F98" s="158" t="s">
        <v>5</v>
      </c>
      <c r="G98" s="42"/>
      <c r="H98" s="42" t="s">
        <v>825</v>
      </c>
    </row>
    <row r="99" spans="1:8" ht="45" x14ac:dyDescent="0.25">
      <c r="A99" s="158">
        <v>43</v>
      </c>
      <c r="B99" s="178" t="s">
        <v>153</v>
      </c>
      <c r="C99" s="158" t="s">
        <v>25</v>
      </c>
      <c r="D99" s="158" t="s">
        <v>26</v>
      </c>
      <c r="E99" s="158" t="s">
        <v>1</v>
      </c>
      <c r="F99" s="158" t="s">
        <v>10</v>
      </c>
      <c r="G99" s="42"/>
      <c r="H99" s="42" t="s">
        <v>825</v>
      </c>
    </row>
    <row r="100" spans="1:8" ht="75" x14ac:dyDescent="0.25">
      <c r="A100" s="158">
        <v>43</v>
      </c>
      <c r="B100" s="178" t="s">
        <v>154</v>
      </c>
      <c r="C100" s="158" t="s">
        <v>25</v>
      </c>
      <c r="D100" s="158" t="s">
        <v>26</v>
      </c>
      <c r="E100" s="158" t="s">
        <v>9</v>
      </c>
      <c r="F100" s="158" t="s">
        <v>10</v>
      </c>
      <c r="G100" s="42"/>
      <c r="H100" s="42" t="s">
        <v>825</v>
      </c>
    </row>
    <row r="101" spans="1:8" ht="45" x14ac:dyDescent="0.25">
      <c r="A101" s="158">
        <v>43</v>
      </c>
      <c r="B101" s="178" t="s">
        <v>155</v>
      </c>
      <c r="C101" s="158" t="s">
        <v>25</v>
      </c>
      <c r="D101" s="158" t="s">
        <v>26</v>
      </c>
      <c r="E101" s="158" t="s">
        <v>1</v>
      </c>
      <c r="F101" s="158" t="s">
        <v>10</v>
      </c>
      <c r="G101" s="42"/>
      <c r="H101" s="42" t="s">
        <v>825</v>
      </c>
    </row>
    <row r="102" spans="1:8" ht="75" x14ac:dyDescent="0.25">
      <c r="A102" s="158">
        <v>43</v>
      </c>
      <c r="B102" s="178" t="s">
        <v>156</v>
      </c>
      <c r="C102" s="158" t="s">
        <v>22</v>
      </c>
      <c r="D102" s="158" t="s">
        <v>23</v>
      </c>
      <c r="E102" s="158" t="s">
        <v>3</v>
      </c>
      <c r="F102" s="158" t="s">
        <v>8</v>
      </c>
      <c r="G102" s="42"/>
      <c r="H102" s="42" t="s">
        <v>824</v>
      </c>
    </row>
    <row r="103" spans="1:8" ht="30" x14ac:dyDescent="0.25">
      <c r="A103" s="158">
        <v>43</v>
      </c>
      <c r="B103" s="178" t="s">
        <v>157</v>
      </c>
      <c r="C103" s="158" t="s">
        <v>25</v>
      </c>
      <c r="D103" s="158" t="s">
        <v>26</v>
      </c>
      <c r="E103" s="158" t="s">
        <v>11</v>
      </c>
      <c r="F103" s="158" t="s">
        <v>10</v>
      </c>
      <c r="G103" s="42"/>
      <c r="H103" s="42" t="s">
        <v>827</v>
      </c>
    </row>
    <row r="104" spans="1:8" ht="90" x14ac:dyDescent="0.25">
      <c r="A104" s="158">
        <v>43</v>
      </c>
      <c r="B104" s="178" t="s">
        <v>158</v>
      </c>
      <c r="C104" s="158" t="s">
        <v>82</v>
      </c>
      <c r="D104" s="158" t="s">
        <v>26</v>
      </c>
      <c r="E104" s="158" t="s">
        <v>27</v>
      </c>
      <c r="F104" s="158" t="s">
        <v>5</v>
      </c>
      <c r="G104" s="42"/>
      <c r="H104" s="42" t="s">
        <v>825</v>
      </c>
    </row>
    <row r="105" spans="1:8" ht="30" x14ac:dyDescent="0.25">
      <c r="A105" s="158">
        <v>43</v>
      </c>
      <c r="B105" s="178" t="s">
        <v>84</v>
      </c>
      <c r="C105" s="158"/>
      <c r="D105" s="158" t="s">
        <v>45</v>
      </c>
      <c r="E105" s="158" t="s">
        <v>496</v>
      </c>
      <c r="F105" s="158"/>
      <c r="G105" s="160" t="s">
        <v>689</v>
      </c>
      <c r="H105" s="42"/>
    </row>
    <row r="106" spans="1:8" ht="30" x14ac:dyDescent="0.25">
      <c r="A106" s="158">
        <v>43</v>
      </c>
      <c r="B106" s="178" t="s">
        <v>159</v>
      </c>
      <c r="C106" s="158" t="s">
        <v>103</v>
      </c>
      <c r="D106" s="158" t="s">
        <v>42</v>
      </c>
      <c r="E106" s="178"/>
      <c r="F106" s="178" t="s">
        <v>104</v>
      </c>
      <c r="G106" s="42"/>
      <c r="H106" s="42" t="s">
        <v>42</v>
      </c>
    </row>
    <row r="107" spans="1:8" ht="45" x14ac:dyDescent="0.25">
      <c r="A107" s="158">
        <v>43</v>
      </c>
      <c r="B107" s="178" t="s">
        <v>160</v>
      </c>
      <c r="C107" s="158" t="s">
        <v>22</v>
      </c>
      <c r="D107" s="158" t="s">
        <v>23</v>
      </c>
      <c r="E107" s="158" t="s">
        <v>3</v>
      </c>
      <c r="F107" s="158" t="s">
        <v>8</v>
      </c>
      <c r="G107" s="42"/>
      <c r="H107" s="42" t="s">
        <v>824</v>
      </c>
    </row>
    <row r="108" spans="1:8" ht="30" x14ac:dyDescent="0.25">
      <c r="A108" s="158">
        <v>44</v>
      </c>
      <c r="B108" s="178" t="s">
        <v>161</v>
      </c>
      <c r="C108" s="158" t="s">
        <v>25</v>
      </c>
      <c r="D108" s="158" t="s">
        <v>26</v>
      </c>
      <c r="E108" s="158" t="s">
        <v>1</v>
      </c>
      <c r="F108" s="158" t="s">
        <v>10</v>
      </c>
      <c r="G108" s="42"/>
      <c r="H108" s="42" t="s">
        <v>827</v>
      </c>
    </row>
    <row r="109" spans="1:8" ht="60" x14ac:dyDescent="0.25">
      <c r="A109" s="158">
        <v>44</v>
      </c>
      <c r="B109" s="178" t="s">
        <v>162</v>
      </c>
      <c r="C109" s="158" t="s">
        <v>62</v>
      </c>
      <c r="D109" s="158" t="s">
        <v>63</v>
      </c>
      <c r="E109" s="158" t="s">
        <v>699</v>
      </c>
      <c r="F109" s="158"/>
      <c r="G109" s="42"/>
      <c r="H109" s="42" t="s">
        <v>828</v>
      </c>
    </row>
    <row r="110" spans="1:8" ht="30" x14ac:dyDescent="0.25">
      <c r="A110" s="158">
        <v>44</v>
      </c>
      <c r="B110" s="158" t="s">
        <v>163</v>
      </c>
      <c r="C110" s="158" t="s">
        <v>36</v>
      </c>
      <c r="D110" s="158" t="s">
        <v>37</v>
      </c>
      <c r="E110" s="158" t="s">
        <v>131</v>
      </c>
      <c r="F110" s="158" t="s">
        <v>39</v>
      </c>
      <c r="G110" s="42"/>
      <c r="H110" s="42" t="s">
        <v>824</v>
      </c>
    </row>
    <row r="111" spans="1:8" ht="30" x14ac:dyDescent="0.25">
      <c r="A111" s="158">
        <v>44</v>
      </c>
      <c r="B111" s="158" t="s">
        <v>164</v>
      </c>
      <c r="C111" s="158" t="s">
        <v>25</v>
      </c>
      <c r="D111" s="158" t="s">
        <v>26</v>
      </c>
      <c r="E111" s="158" t="s">
        <v>1</v>
      </c>
      <c r="F111" s="158" t="s">
        <v>5</v>
      </c>
      <c r="G111" s="42"/>
      <c r="H111" s="42" t="s">
        <v>827</v>
      </c>
    </row>
    <row r="112" spans="1:8" ht="30" x14ac:dyDescent="0.25">
      <c r="A112" s="158">
        <v>45</v>
      </c>
      <c r="B112" s="178" t="s">
        <v>165</v>
      </c>
      <c r="C112" s="158" t="s">
        <v>25</v>
      </c>
      <c r="D112" s="158" t="s">
        <v>26</v>
      </c>
      <c r="E112" s="158" t="s">
        <v>4</v>
      </c>
      <c r="F112" s="158"/>
      <c r="G112" s="42"/>
      <c r="H112" s="42" t="s">
        <v>825</v>
      </c>
    </row>
    <row r="113" spans="1:8" ht="30" x14ac:dyDescent="0.25">
      <c r="A113" s="158">
        <v>45</v>
      </c>
      <c r="B113" s="178" t="s">
        <v>166</v>
      </c>
      <c r="C113" s="158" t="s">
        <v>57</v>
      </c>
      <c r="D113" s="158" t="s">
        <v>58</v>
      </c>
      <c r="E113" s="158" t="s">
        <v>59</v>
      </c>
      <c r="F113" s="158" t="s">
        <v>60</v>
      </c>
      <c r="G113" s="42"/>
      <c r="H113" s="42" t="s">
        <v>832</v>
      </c>
    </row>
    <row r="114" spans="1:8" ht="30" x14ac:dyDescent="0.25">
      <c r="A114" s="158">
        <v>45</v>
      </c>
      <c r="B114" s="178" t="s">
        <v>167</v>
      </c>
      <c r="C114" s="158" t="s">
        <v>22</v>
      </c>
      <c r="D114" s="158" t="s">
        <v>33</v>
      </c>
      <c r="E114" s="158" t="s">
        <v>12</v>
      </c>
      <c r="F114" s="158"/>
      <c r="G114" s="42"/>
      <c r="H114" s="42" t="s">
        <v>828</v>
      </c>
    </row>
    <row r="115" spans="1:8" ht="44.25" customHeight="1" x14ac:dyDescent="0.25">
      <c r="A115" s="158">
        <v>45</v>
      </c>
      <c r="B115" s="178" t="s">
        <v>168</v>
      </c>
      <c r="C115" s="158" t="s">
        <v>36</v>
      </c>
      <c r="D115" s="158" t="s">
        <v>37</v>
      </c>
      <c r="E115" s="158" t="s">
        <v>131</v>
      </c>
      <c r="F115" s="158" t="s">
        <v>307</v>
      </c>
      <c r="G115" s="42"/>
      <c r="H115" s="42" t="s">
        <v>824</v>
      </c>
    </row>
    <row r="116" spans="1:8" ht="30" x14ac:dyDescent="0.25">
      <c r="A116" s="158">
        <v>45</v>
      </c>
      <c r="B116" s="178" t="s">
        <v>169</v>
      </c>
      <c r="C116" s="158" t="s">
        <v>47</v>
      </c>
      <c r="D116" s="158" t="s">
        <v>48</v>
      </c>
      <c r="E116" s="158" t="s">
        <v>49</v>
      </c>
      <c r="F116" s="158"/>
      <c r="G116" s="42"/>
      <c r="H116" s="42" t="s">
        <v>845</v>
      </c>
    </row>
    <row r="117" spans="1:8" ht="45" x14ac:dyDescent="0.25">
      <c r="A117" s="158">
        <v>45</v>
      </c>
      <c r="B117" s="158" t="s">
        <v>170</v>
      </c>
      <c r="C117" s="158" t="s">
        <v>82</v>
      </c>
      <c r="D117" s="158" t="s">
        <v>26</v>
      </c>
      <c r="E117" s="158" t="s">
        <v>1</v>
      </c>
      <c r="F117" s="158" t="s">
        <v>2</v>
      </c>
      <c r="G117" s="158" t="s">
        <v>725</v>
      </c>
      <c r="H117" s="158" t="s">
        <v>833</v>
      </c>
    </row>
    <row r="118" spans="1:8" ht="30" x14ac:dyDescent="0.25">
      <c r="A118" s="158">
        <v>45</v>
      </c>
      <c r="B118" s="158" t="s">
        <v>171</v>
      </c>
      <c r="C118" s="158"/>
      <c r="D118" s="158" t="s">
        <v>68</v>
      </c>
      <c r="E118" s="158" t="s">
        <v>739</v>
      </c>
      <c r="F118" s="158"/>
      <c r="G118" s="160" t="s">
        <v>689</v>
      </c>
      <c r="H118" s="42"/>
    </row>
    <row r="119" spans="1:8" ht="165" x14ac:dyDescent="0.25">
      <c r="A119" s="158">
        <v>45</v>
      </c>
      <c r="B119" s="158" t="s">
        <v>172</v>
      </c>
      <c r="C119" s="158" t="s">
        <v>25</v>
      </c>
      <c r="D119" s="158" t="s">
        <v>26</v>
      </c>
      <c r="E119" s="158" t="s">
        <v>27</v>
      </c>
      <c r="F119" s="158" t="s">
        <v>5</v>
      </c>
      <c r="G119" s="42"/>
      <c r="H119" s="42" t="s">
        <v>825</v>
      </c>
    </row>
    <row r="120" spans="1:8" ht="33" x14ac:dyDescent="0.25">
      <c r="A120" s="158">
        <v>45</v>
      </c>
      <c r="B120" s="158" t="s">
        <v>173</v>
      </c>
      <c r="C120" s="158" t="s">
        <v>25</v>
      </c>
      <c r="D120" s="158" t="s">
        <v>26</v>
      </c>
      <c r="E120" s="158" t="s">
        <v>4</v>
      </c>
      <c r="F120" s="158"/>
      <c r="G120" s="42"/>
      <c r="H120" s="42" t="s">
        <v>834</v>
      </c>
    </row>
    <row r="121" spans="1:8" ht="78" x14ac:dyDescent="0.25">
      <c r="A121" s="158">
        <v>45</v>
      </c>
      <c r="B121" s="158" t="s">
        <v>174</v>
      </c>
      <c r="C121" s="158" t="s">
        <v>36</v>
      </c>
      <c r="D121" s="158" t="s">
        <v>37</v>
      </c>
      <c r="E121" s="158" t="s">
        <v>131</v>
      </c>
      <c r="F121" s="158" t="s">
        <v>175</v>
      </c>
      <c r="G121" s="42"/>
      <c r="H121" s="42" t="s">
        <v>846</v>
      </c>
    </row>
    <row r="122" spans="1:8" ht="75" x14ac:dyDescent="0.25">
      <c r="A122" s="158">
        <v>46</v>
      </c>
      <c r="B122" s="158" t="s">
        <v>176</v>
      </c>
      <c r="C122" s="158" t="s">
        <v>25</v>
      </c>
      <c r="D122" s="158" t="s">
        <v>26</v>
      </c>
      <c r="E122" s="158" t="s">
        <v>27</v>
      </c>
      <c r="F122" s="158" t="s">
        <v>10</v>
      </c>
      <c r="G122" s="42"/>
      <c r="H122" s="42" t="s">
        <v>825</v>
      </c>
    </row>
    <row r="123" spans="1:8" ht="45" x14ac:dyDescent="0.25">
      <c r="A123" s="158">
        <v>46</v>
      </c>
      <c r="B123" s="158" t="s">
        <v>177</v>
      </c>
      <c r="C123" s="158" t="s">
        <v>103</v>
      </c>
      <c r="D123" s="158" t="s">
        <v>42</v>
      </c>
      <c r="E123" s="158"/>
      <c r="F123" s="158" t="s">
        <v>178</v>
      </c>
      <c r="G123" s="42"/>
      <c r="H123" s="42" t="s">
        <v>42</v>
      </c>
    </row>
    <row r="124" spans="1:8" ht="30" x14ac:dyDescent="0.25">
      <c r="A124" s="158">
        <v>46</v>
      </c>
      <c r="B124" s="158" t="s">
        <v>179</v>
      </c>
      <c r="C124" s="158" t="s">
        <v>25</v>
      </c>
      <c r="D124" s="158" t="s">
        <v>26</v>
      </c>
      <c r="E124" s="158" t="s">
        <v>1</v>
      </c>
      <c r="F124" s="158" t="s">
        <v>10</v>
      </c>
      <c r="G124" s="42"/>
      <c r="H124" s="42" t="s">
        <v>843</v>
      </c>
    </row>
    <row r="125" spans="1:8" ht="30" x14ac:dyDescent="0.25">
      <c r="A125" s="158">
        <v>46</v>
      </c>
      <c r="B125" s="158" t="s">
        <v>180</v>
      </c>
      <c r="C125" s="158" t="s">
        <v>25</v>
      </c>
      <c r="D125" s="158" t="s">
        <v>26</v>
      </c>
      <c r="E125" s="158" t="s">
        <v>1</v>
      </c>
      <c r="F125" s="158" t="s">
        <v>10</v>
      </c>
      <c r="G125" s="42"/>
      <c r="H125" s="42" t="s">
        <v>825</v>
      </c>
    </row>
    <row r="126" spans="1:8" ht="45" x14ac:dyDescent="0.25">
      <c r="A126" s="158">
        <v>46</v>
      </c>
      <c r="B126" s="158" t="s">
        <v>181</v>
      </c>
      <c r="C126" s="158" t="s">
        <v>25</v>
      </c>
      <c r="D126" s="158" t="s">
        <v>26</v>
      </c>
      <c r="E126" s="158" t="s">
        <v>27</v>
      </c>
      <c r="F126" s="158" t="s">
        <v>10</v>
      </c>
      <c r="G126" s="42"/>
      <c r="H126" s="42" t="s">
        <v>827</v>
      </c>
    </row>
    <row r="127" spans="1:8" ht="30" x14ac:dyDescent="0.25">
      <c r="A127" s="158">
        <v>46</v>
      </c>
      <c r="B127" s="158" t="s">
        <v>182</v>
      </c>
      <c r="C127" s="158" t="s">
        <v>25</v>
      </c>
      <c r="D127" s="158" t="s">
        <v>26</v>
      </c>
      <c r="E127" s="158" t="s">
        <v>4</v>
      </c>
      <c r="F127" s="158"/>
      <c r="G127" s="42"/>
      <c r="H127" s="42" t="s">
        <v>826</v>
      </c>
    </row>
    <row r="128" spans="1:8" ht="30" x14ac:dyDescent="0.25">
      <c r="A128" s="158">
        <v>47</v>
      </c>
      <c r="B128" s="158" t="s">
        <v>183</v>
      </c>
      <c r="C128" s="158" t="s">
        <v>25</v>
      </c>
      <c r="D128" s="158" t="s">
        <v>26</v>
      </c>
      <c r="E128" s="158" t="s">
        <v>1</v>
      </c>
      <c r="F128" s="158" t="s">
        <v>2</v>
      </c>
      <c r="G128" s="42"/>
      <c r="H128" s="42" t="s">
        <v>825</v>
      </c>
    </row>
    <row r="129" spans="1:8" ht="45" x14ac:dyDescent="0.25">
      <c r="A129" s="158">
        <v>47</v>
      </c>
      <c r="B129" s="158" t="s">
        <v>184</v>
      </c>
      <c r="C129" s="158" t="s">
        <v>25</v>
      </c>
      <c r="D129" s="158" t="s">
        <v>26</v>
      </c>
      <c r="E129" s="158" t="s">
        <v>27</v>
      </c>
      <c r="F129" s="158" t="s">
        <v>5</v>
      </c>
      <c r="G129" s="42"/>
      <c r="H129" s="42" t="s">
        <v>825</v>
      </c>
    </row>
    <row r="130" spans="1:8" ht="30" x14ac:dyDescent="0.25">
      <c r="A130" s="158">
        <v>47</v>
      </c>
      <c r="B130" s="158" t="s">
        <v>185</v>
      </c>
      <c r="C130" s="158" t="s">
        <v>22</v>
      </c>
      <c r="D130" s="158" t="s">
        <v>23</v>
      </c>
      <c r="E130" s="158" t="s">
        <v>3</v>
      </c>
      <c r="F130" s="158" t="s">
        <v>8</v>
      </c>
      <c r="G130" s="42"/>
      <c r="H130" s="42" t="s">
        <v>824</v>
      </c>
    </row>
    <row r="131" spans="1:8" ht="30" x14ac:dyDescent="0.25">
      <c r="A131" s="158">
        <v>47</v>
      </c>
      <c r="B131" s="158" t="s">
        <v>186</v>
      </c>
      <c r="C131" s="158" t="s">
        <v>25</v>
      </c>
      <c r="D131" s="158" t="s">
        <v>26</v>
      </c>
      <c r="E131" s="158" t="s">
        <v>27</v>
      </c>
      <c r="F131" s="158" t="s">
        <v>10</v>
      </c>
      <c r="G131" s="42"/>
      <c r="H131" s="42" t="s">
        <v>827</v>
      </c>
    </row>
    <row r="132" spans="1:8" ht="30" x14ac:dyDescent="0.25">
      <c r="A132" s="158">
        <v>47</v>
      </c>
      <c r="B132" s="158" t="s">
        <v>187</v>
      </c>
      <c r="C132" s="158" t="s">
        <v>22</v>
      </c>
      <c r="D132" s="158" t="s">
        <v>23</v>
      </c>
      <c r="E132" s="158" t="s">
        <v>3</v>
      </c>
      <c r="F132" s="158" t="s">
        <v>7</v>
      </c>
      <c r="G132" s="158"/>
      <c r="H132" s="158" t="s">
        <v>824</v>
      </c>
    </row>
    <row r="133" spans="1:8" ht="45" x14ac:dyDescent="0.25">
      <c r="A133" s="158">
        <v>47</v>
      </c>
      <c r="B133" s="158" t="s">
        <v>188</v>
      </c>
      <c r="C133" s="158" t="s">
        <v>25</v>
      </c>
      <c r="D133" s="158" t="s">
        <v>26</v>
      </c>
      <c r="E133" s="158" t="s">
        <v>27</v>
      </c>
      <c r="F133" s="158" t="s">
        <v>10</v>
      </c>
      <c r="G133" s="158" t="s">
        <v>722</v>
      </c>
      <c r="H133" s="158" t="s">
        <v>833</v>
      </c>
    </row>
    <row r="134" spans="1:8" ht="33" x14ac:dyDescent="0.25">
      <c r="A134" s="158">
        <v>47</v>
      </c>
      <c r="B134" s="158" t="s">
        <v>189</v>
      </c>
      <c r="C134" s="158" t="s">
        <v>82</v>
      </c>
      <c r="D134" s="158" t="s">
        <v>26</v>
      </c>
      <c r="E134" s="158" t="s">
        <v>1</v>
      </c>
      <c r="F134" s="158" t="s">
        <v>5</v>
      </c>
      <c r="G134" s="42"/>
      <c r="H134" s="42" t="s">
        <v>825</v>
      </c>
    </row>
    <row r="135" spans="1:8" ht="30" x14ac:dyDescent="0.25">
      <c r="A135" s="158">
        <v>47</v>
      </c>
      <c r="B135" s="158" t="s">
        <v>171</v>
      </c>
      <c r="C135" s="158"/>
      <c r="D135" s="158" t="s">
        <v>68</v>
      </c>
      <c r="E135" s="158" t="s">
        <v>739</v>
      </c>
      <c r="F135" s="158"/>
      <c r="G135" s="160" t="s">
        <v>689</v>
      </c>
      <c r="H135" s="42"/>
    </row>
    <row r="136" spans="1:8" ht="60" x14ac:dyDescent="0.25">
      <c r="A136" s="158">
        <v>47</v>
      </c>
      <c r="B136" s="158" t="s">
        <v>190</v>
      </c>
      <c r="C136" s="158" t="s">
        <v>62</v>
      </c>
      <c r="D136" s="158" t="s">
        <v>63</v>
      </c>
      <c r="E136" s="158" t="s">
        <v>699</v>
      </c>
      <c r="F136" s="158"/>
      <c r="G136" s="42"/>
      <c r="H136" s="42" t="s">
        <v>828</v>
      </c>
    </row>
    <row r="137" spans="1:8" ht="30" x14ac:dyDescent="0.25">
      <c r="A137" s="158">
        <v>47</v>
      </c>
      <c r="B137" s="158" t="s">
        <v>191</v>
      </c>
      <c r="C137" s="158" t="s">
        <v>25</v>
      </c>
      <c r="D137" s="158" t="s">
        <v>26</v>
      </c>
      <c r="E137" s="158" t="s">
        <v>1</v>
      </c>
      <c r="F137" s="158" t="s">
        <v>2</v>
      </c>
      <c r="G137" s="42"/>
      <c r="H137" s="42" t="s">
        <v>825</v>
      </c>
    </row>
    <row r="138" spans="1:8" ht="60" x14ac:dyDescent="0.25">
      <c r="A138" s="158">
        <v>47</v>
      </c>
      <c r="B138" s="158" t="s">
        <v>192</v>
      </c>
      <c r="C138" s="158" t="s">
        <v>51</v>
      </c>
      <c r="D138" s="158" t="s">
        <v>33</v>
      </c>
      <c r="E138" s="158" t="s">
        <v>699</v>
      </c>
      <c r="F138" s="158"/>
      <c r="G138" s="42"/>
      <c r="H138" s="42" t="s">
        <v>828</v>
      </c>
    </row>
    <row r="139" spans="1:8" ht="30" x14ac:dyDescent="0.25">
      <c r="A139" s="158">
        <v>47</v>
      </c>
      <c r="B139" s="158" t="s">
        <v>194</v>
      </c>
      <c r="C139" s="158"/>
      <c r="D139" s="158" t="s">
        <v>68</v>
      </c>
      <c r="E139" s="158" t="s">
        <v>744</v>
      </c>
      <c r="F139" s="158"/>
      <c r="G139" s="160" t="s">
        <v>688</v>
      </c>
      <c r="H139" s="42"/>
    </row>
    <row r="140" spans="1:8" ht="30" x14ac:dyDescent="0.25">
      <c r="A140" s="158">
        <v>47</v>
      </c>
      <c r="B140" s="158" t="s">
        <v>169</v>
      </c>
      <c r="C140" s="158" t="s">
        <v>47</v>
      </c>
      <c r="D140" s="158" t="s">
        <v>48</v>
      </c>
      <c r="E140" s="158" t="s">
        <v>49</v>
      </c>
      <c r="F140" s="158"/>
      <c r="G140" s="42"/>
      <c r="H140" s="42" t="s">
        <v>845</v>
      </c>
    </row>
    <row r="141" spans="1:8" ht="45" x14ac:dyDescent="0.25">
      <c r="A141" s="158">
        <v>47</v>
      </c>
      <c r="B141" s="158" t="s">
        <v>195</v>
      </c>
      <c r="C141" s="158" t="s">
        <v>25</v>
      </c>
      <c r="D141" s="158" t="s">
        <v>26</v>
      </c>
      <c r="E141" s="158" t="s">
        <v>20</v>
      </c>
      <c r="F141" s="158" t="s">
        <v>10</v>
      </c>
      <c r="G141" s="42"/>
      <c r="H141" s="42" t="s">
        <v>827</v>
      </c>
    </row>
    <row r="142" spans="1:8" ht="30" x14ac:dyDescent="0.25">
      <c r="A142" s="158">
        <v>47</v>
      </c>
      <c r="B142" s="158" t="s">
        <v>196</v>
      </c>
      <c r="C142" s="158"/>
      <c r="D142" s="158" t="s">
        <v>53</v>
      </c>
      <c r="E142" s="158"/>
      <c r="F142" s="158" t="s">
        <v>738</v>
      </c>
      <c r="G142" s="160" t="s">
        <v>688</v>
      </c>
      <c r="H142" s="42"/>
    </row>
    <row r="143" spans="1:8" ht="60" x14ac:dyDescent="0.25">
      <c r="A143" s="158">
        <v>47</v>
      </c>
      <c r="B143" s="158" t="s">
        <v>197</v>
      </c>
      <c r="C143" s="158" t="s">
        <v>51</v>
      </c>
      <c r="D143" s="158" t="s">
        <v>33</v>
      </c>
      <c r="E143" s="158" t="s">
        <v>699</v>
      </c>
      <c r="F143" s="158"/>
      <c r="G143" s="42"/>
      <c r="H143" s="42" t="s">
        <v>828</v>
      </c>
    </row>
    <row r="144" spans="1:8" ht="30" x14ac:dyDescent="0.25">
      <c r="A144" s="158">
        <v>47</v>
      </c>
      <c r="B144" s="158" t="s">
        <v>198</v>
      </c>
      <c r="C144" s="158" t="s">
        <v>22</v>
      </c>
      <c r="D144" s="158" t="s">
        <v>23</v>
      </c>
      <c r="E144" s="158" t="s">
        <v>14</v>
      </c>
      <c r="F144" s="158"/>
      <c r="G144" s="42"/>
      <c r="H144" s="42" t="s">
        <v>846</v>
      </c>
    </row>
    <row r="145" spans="1:8" ht="75" x14ac:dyDescent="0.25">
      <c r="A145" s="158">
        <v>47</v>
      </c>
      <c r="B145" s="178" t="s">
        <v>199</v>
      </c>
      <c r="C145" s="158" t="s">
        <v>82</v>
      </c>
      <c r="D145" s="158" t="s">
        <v>26</v>
      </c>
      <c r="E145" s="158" t="s">
        <v>27</v>
      </c>
      <c r="F145" s="158" t="s">
        <v>5</v>
      </c>
      <c r="G145" s="42"/>
      <c r="H145" s="42" t="s">
        <v>825</v>
      </c>
    </row>
    <row r="146" spans="1:8" ht="30" x14ac:dyDescent="0.25">
      <c r="A146" s="158">
        <v>47</v>
      </c>
      <c r="B146" s="178" t="s">
        <v>84</v>
      </c>
      <c r="C146" s="158"/>
      <c r="D146" s="158" t="s">
        <v>45</v>
      </c>
      <c r="E146" s="158" t="s">
        <v>496</v>
      </c>
      <c r="F146" s="158"/>
      <c r="G146" s="160" t="s">
        <v>689</v>
      </c>
      <c r="H146" s="42"/>
    </row>
    <row r="147" spans="1:8" ht="60" x14ac:dyDescent="0.25">
      <c r="A147" s="158">
        <v>48</v>
      </c>
      <c r="B147" s="158" t="s">
        <v>200</v>
      </c>
      <c r="C147" s="158" t="s">
        <v>62</v>
      </c>
      <c r="D147" s="158" t="s">
        <v>63</v>
      </c>
      <c r="E147" s="158" t="s">
        <v>699</v>
      </c>
      <c r="F147" s="158"/>
      <c r="G147" s="42"/>
      <c r="H147" s="42" t="s">
        <v>828</v>
      </c>
    </row>
    <row r="148" spans="1:8" ht="45" x14ac:dyDescent="0.25">
      <c r="A148" s="158">
        <v>48</v>
      </c>
      <c r="B148" s="158" t="s">
        <v>201</v>
      </c>
      <c r="C148" s="158" t="s">
        <v>25</v>
      </c>
      <c r="D148" s="158" t="s">
        <v>26</v>
      </c>
      <c r="E148" s="158" t="s">
        <v>27</v>
      </c>
      <c r="F148" s="158" t="s">
        <v>10</v>
      </c>
      <c r="G148" s="42"/>
      <c r="H148" s="42" t="s">
        <v>843</v>
      </c>
    </row>
    <row r="149" spans="1:8" ht="45" x14ac:dyDescent="0.25">
      <c r="A149" s="158">
        <v>48</v>
      </c>
      <c r="B149" s="158" t="s">
        <v>694</v>
      </c>
      <c r="C149" s="158" t="s">
        <v>22</v>
      </c>
      <c r="D149" s="158" t="s">
        <v>23</v>
      </c>
      <c r="E149" s="158" t="s">
        <v>3</v>
      </c>
      <c r="F149" s="158" t="s">
        <v>39</v>
      </c>
      <c r="G149" s="158" t="s">
        <v>730</v>
      </c>
      <c r="H149" s="158" t="s">
        <v>829</v>
      </c>
    </row>
    <row r="150" spans="1:8" ht="45" x14ac:dyDescent="0.25">
      <c r="A150" s="158">
        <v>48</v>
      </c>
      <c r="B150" s="158" t="s">
        <v>682</v>
      </c>
      <c r="C150" s="158" t="s">
        <v>51</v>
      </c>
      <c r="D150" s="158" t="s">
        <v>23</v>
      </c>
      <c r="E150" s="158" t="s">
        <v>202</v>
      </c>
      <c r="F150" s="158" t="s">
        <v>8</v>
      </c>
      <c r="G150" s="42"/>
      <c r="H150" s="42" t="s">
        <v>824</v>
      </c>
    </row>
    <row r="151" spans="1:8" ht="30" x14ac:dyDescent="0.25">
      <c r="A151" s="158">
        <v>48</v>
      </c>
      <c r="B151" s="158" t="s">
        <v>203</v>
      </c>
      <c r="C151" s="158"/>
      <c r="D151" s="158" t="s">
        <v>53</v>
      </c>
      <c r="E151" s="158"/>
      <c r="F151" s="158" t="s">
        <v>745</v>
      </c>
      <c r="G151" s="160" t="s">
        <v>688</v>
      </c>
      <c r="H151" s="42"/>
    </row>
    <row r="152" spans="1:8" ht="30" x14ac:dyDescent="0.25">
      <c r="A152" s="158">
        <v>48</v>
      </c>
      <c r="B152" s="158" t="s">
        <v>204</v>
      </c>
      <c r="C152" s="158" t="s">
        <v>25</v>
      </c>
      <c r="D152" s="158" t="s">
        <v>26</v>
      </c>
      <c r="E152" s="158" t="s">
        <v>4</v>
      </c>
      <c r="F152" s="158"/>
      <c r="G152" s="42"/>
      <c r="H152" s="42" t="s">
        <v>834</v>
      </c>
    </row>
    <row r="153" spans="1:8" ht="30" x14ac:dyDescent="0.25">
      <c r="A153" s="158">
        <v>48</v>
      </c>
      <c r="B153" s="158" t="s">
        <v>205</v>
      </c>
      <c r="C153" s="158" t="s">
        <v>25</v>
      </c>
      <c r="D153" s="158" t="s">
        <v>26</v>
      </c>
      <c r="E153" s="158" t="s">
        <v>1</v>
      </c>
      <c r="F153" s="158" t="s">
        <v>10</v>
      </c>
      <c r="G153" s="42"/>
      <c r="H153" s="42" t="s">
        <v>825</v>
      </c>
    </row>
    <row r="154" spans="1:8" ht="75" x14ac:dyDescent="0.25">
      <c r="A154" s="158">
        <v>48</v>
      </c>
      <c r="B154" s="158" t="s">
        <v>206</v>
      </c>
      <c r="C154" s="158" t="s">
        <v>22</v>
      </c>
      <c r="D154" s="158" t="s">
        <v>23</v>
      </c>
      <c r="E154" s="158" t="s">
        <v>13</v>
      </c>
      <c r="F154" s="158" t="s">
        <v>7</v>
      </c>
      <c r="G154" s="42"/>
      <c r="H154" s="42" t="s">
        <v>824</v>
      </c>
    </row>
    <row r="155" spans="1:8" ht="30" x14ac:dyDescent="0.25">
      <c r="A155" s="158">
        <v>48</v>
      </c>
      <c r="B155" s="187" t="s">
        <v>207</v>
      </c>
      <c r="C155" s="158" t="s">
        <v>47</v>
      </c>
      <c r="D155" s="158" t="s">
        <v>48</v>
      </c>
      <c r="E155" s="158" t="s">
        <v>49</v>
      </c>
      <c r="F155" s="158" t="s">
        <v>208</v>
      </c>
      <c r="G155" s="42"/>
      <c r="H155" s="42" t="s">
        <v>847</v>
      </c>
    </row>
    <row r="156" spans="1:8" ht="225" x14ac:dyDescent="0.25">
      <c r="A156" s="158">
        <v>48</v>
      </c>
      <c r="B156" s="158" t="s">
        <v>209</v>
      </c>
      <c r="C156" s="158" t="s">
        <v>22</v>
      </c>
      <c r="D156" s="158" t="s">
        <v>23</v>
      </c>
      <c r="E156" s="158" t="s">
        <v>3</v>
      </c>
      <c r="F156" s="158" t="s">
        <v>6</v>
      </c>
      <c r="G156" s="42"/>
      <c r="H156" s="42" t="s">
        <v>842</v>
      </c>
    </row>
    <row r="157" spans="1:8" ht="45" x14ac:dyDescent="0.25">
      <c r="A157" s="158">
        <v>48</v>
      </c>
      <c r="B157" s="158" t="s">
        <v>210</v>
      </c>
      <c r="C157" s="158" t="s">
        <v>25</v>
      </c>
      <c r="D157" s="158" t="s">
        <v>26</v>
      </c>
      <c r="E157" s="158" t="s">
        <v>27</v>
      </c>
      <c r="F157" s="158" t="s">
        <v>10</v>
      </c>
      <c r="G157" s="42"/>
      <c r="H157" s="42" t="s">
        <v>825</v>
      </c>
    </row>
    <row r="158" spans="1:8" ht="30" x14ac:dyDescent="0.25">
      <c r="A158" s="158">
        <v>48</v>
      </c>
      <c r="B158" s="158" t="s">
        <v>211</v>
      </c>
      <c r="C158" s="158" t="s">
        <v>25</v>
      </c>
      <c r="D158" s="158" t="s">
        <v>26</v>
      </c>
      <c r="E158" s="158" t="s">
        <v>212</v>
      </c>
      <c r="F158" s="158" t="s">
        <v>5</v>
      </c>
      <c r="G158" s="42"/>
      <c r="H158" s="42" t="s">
        <v>827</v>
      </c>
    </row>
    <row r="159" spans="1:8" ht="30" x14ac:dyDescent="0.25">
      <c r="A159" s="158">
        <v>48</v>
      </c>
      <c r="B159" s="158" t="s">
        <v>213</v>
      </c>
      <c r="C159" s="158" t="s">
        <v>25</v>
      </c>
      <c r="D159" s="158" t="s">
        <v>26</v>
      </c>
      <c r="E159" s="158" t="s">
        <v>11</v>
      </c>
      <c r="F159" s="158" t="s">
        <v>10</v>
      </c>
      <c r="G159" s="42"/>
      <c r="H159" s="42" t="s">
        <v>826</v>
      </c>
    </row>
    <row r="160" spans="1:8" ht="45" x14ac:dyDescent="0.25">
      <c r="A160" s="158">
        <v>48</v>
      </c>
      <c r="B160" s="188" t="s">
        <v>214</v>
      </c>
      <c r="C160" s="158" t="s">
        <v>36</v>
      </c>
      <c r="D160" s="158" t="s">
        <v>37</v>
      </c>
      <c r="E160" s="158" t="s">
        <v>131</v>
      </c>
      <c r="F160" s="158" t="s">
        <v>39</v>
      </c>
      <c r="G160" s="158" t="s">
        <v>715</v>
      </c>
      <c r="H160" s="158" t="s">
        <v>829</v>
      </c>
    </row>
    <row r="161" spans="1:8" ht="45" x14ac:dyDescent="0.25">
      <c r="A161" s="158">
        <v>48</v>
      </c>
      <c r="B161" s="188" t="s">
        <v>215</v>
      </c>
      <c r="C161" s="158" t="s">
        <v>25</v>
      </c>
      <c r="D161" s="158" t="s">
        <v>26</v>
      </c>
      <c r="E161" s="158" t="s">
        <v>27</v>
      </c>
      <c r="F161" s="158" t="s">
        <v>10</v>
      </c>
      <c r="G161" s="158" t="s">
        <v>722</v>
      </c>
      <c r="H161" s="158" t="s">
        <v>833</v>
      </c>
    </row>
    <row r="162" spans="1:8" ht="30" x14ac:dyDescent="0.25">
      <c r="A162" s="158">
        <v>49</v>
      </c>
      <c r="B162" s="188" t="s">
        <v>216</v>
      </c>
      <c r="C162" s="158" t="s">
        <v>25</v>
      </c>
      <c r="D162" s="158" t="s">
        <v>26</v>
      </c>
      <c r="E162" s="158" t="s">
        <v>4</v>
      </c>
      <c r="F162" s="158"/>
      <c r="G162" s="42"/>
      <c r="H162" s="42" t="s">
        <v>827</v>
      </c>
    </row>
    <row r="163" spans="1:8" ht="30" x14ac:dyDescent="0.25">
      <c r="A163" s="158">
        <v>49</v>
      </c>
      <c r="B163" s="188" t="s">
        <v>217</v>
      </c>
      <c r="C163" s="158" t="s">
        <v>25</v>
      </c>
      <c r="D163" s="158" t="s">
        <v>26</v>
      </c>
      <c r="E163" s="158" t="s">
        <v>4</v>
      </c>
      <c r="F163" s="158"/>
      <c r="G163" s="42"/>
      <c r="H163" s="42" t="s">
        <v>834</v>
      </c>
    </row>
    <row r="164" spans="1:8" ht="60" x14ac:dyDescent="0.25">
      <c r="A164" s="158">
        <v>49</v>
      </c>
      <c r="B164" s="188" t="s">
        <v>218</v>
      </c>
      <c r="C164" s="158" t="s">
        <v>62</v>
      </c>
      <c r="D164" s="158" t="s">
        <v>63</v>
      </c>
      <c r="E164" s="158" t="s">
        <v>699</v>
      </c>
      <c r="F164" s="158"/>
      <c r="G164" s="42"/>
      <c r="H164" s="42" t="s">
        <v>828</v>
      </c>
    </row>
    <row r="165" spans="1:8" ht="106.5" customHeight="1" x14ac:dyDescent="0.25">
      <c r="A165" s="158">
        <v>49</v>
      </c>
      <c r="B165" s="186" t="s">
        <v>219</v>
      </c>
      <c r="C165" s="180" t="s">
        <v>22</v>
      </c>
      <c r="D165" s="180" t="s">
        <v>23</v>
      </c>
      <c r="E165" s="180" t="s">
        <v>3</v>
      </c>
      <c r="F165" s="158" t="s">
        <v>6</v>
      </c>
      <c r="G165" s="42"/>
      <c r="H165" s="42" t="s">
        <v>824</v>
      </c>
    </row>
    <row r="166" spans="1:8" x14ac:dyDescent="0.25">
      <c r="A166" s="158">
        <v>49</v>
      </c>
      <c r="B166" s="186"/>
      <c r="C166" s="180"/>
      <c r="D166" s="180"/>
      <c r="E166" s="180"/>
      <c r="F166" s="158" t="s">
        <v>8</v>
      </c>
      <c r="G166" s="42"/>
      <c r="H166" s="42"/>
    </row>
    <row r="167" spans="1:8" x14ac:dyDescent="0.25">
      <c r="A167" s="158">
        <v>49</v>
      </c>
      <c r="B167" s="178" t="s">
        <v>220</v>
      </c>
      <c r="C167" s="158" t="s">
        <v>25</v>
      </c>
      <c r="D167" s="158" t="s">
        <v>26</v>
      </c>
      <c r="E167" s="158" t="s">
        <v>1</v>
      </c>
      <c r="F167" s="158" t="s">
        <v>5</v>
      </c>
      <c r="G167" s="42"/>
      <c r="H167" s="42" t="s">
        <v>826</v>
      </c>
    </row>
    <row r="168" spans="1:8" ht="30" x14ac:dyDescent="0.25">
      <c r="A168" s="158">
        <v>49</v>
      </c>
      <c r="B168" s="178" t="s">
        <v>221</v>
      </c>
      <c r="C168" s="158" t="s">
        <v>25</v>
      </c>
      <c r="D168" s="158" t="s">
        <v>26</v>
      </c>
      <c r="E168" s="158" t="s">
        <v>4</v>
      </c>
      <c r="F168" s="158"/>
      <c r="G168" s="42"/>
      <c r="H168" s="42" t="s">
        <v>826</v>
      </c>
    </row>
    <row r="169" spans="1:8" ht="45" x14ac:dyDescent="0.25">
      <c r="A169" s="158">
        <v>49</v>
      </c>
      <c r="B169" s="178" t="s">
        <v>222</v>
      </c>
      <c r="C169" s="158" t="s">
        <v>25</v>
      </c>
      <c r="D169" s="158" t="s">
        <v>26</v>
      </c>
      <c r="E169" s="158" t="s">
        <v>27</v>
      </c>
      <c r="F169" s="158" t="s">
        <v>10</v>
      </c>
      <c r="G169" s="42"/>
      <c r="H169" s="42" t="s">
        <v>827</v>
      </c>
    </row>
    <row r="170" spans="1:8" ht="30" x14ac:dyDescent="0.25">
      <c r="A170" s="158">
        <v>49</v>
      </c>
      <c r="B170" s="178" t="s">
        <v>223</v>
      </c>
      <c r="C170" s="158" t="s">
        <v>25</v>
      </c>
      <c r="D170" s="158" t="s">
        <v>26</v>
      </c>
      <c r="E170" s="158" t="s">
        <v>1</v>
      </c>
      <c r="F170" s="158" t="s">
        <v>5</v>
      </c>
      <c r="G170" s="42"/>
      <c r="H170" s="42" t="s">
        <v>826</v>
      </c>
    </row>
    <row r="171" spans="1:8" ht="30" x14ac:dyDescent="0.25">
      <c r="A171" s="158">
        <v>49</v>
      </c>
      <c r="B171" s="182" t="s">
        <v>224</v>
      </c>
      <c r="C171" s="158" t="s">
        <v>25</v>
      </c>
      <c r="D171" s="158" t="s">
        <v>26</v>
      </c>
      <c r="E171" s="158" t="s">
        <v>27</v>
      </c>
      <c r="F171" s="158" t="s">
        <v>10</v>
      </c>
      <c r="G171" s="42"/>
      <c r="H171" s="42" t="s">
        <v>826</v>
      </c>
    </row>
    <row r="172" spans="1:8" ht="75" x14ac:dyDescent="0.25">
      <c r="A172" s="158">
        <v>49</v>
      </c>
      <c r="B172" s="178" t="s">
        <v>225</v>
      </c>
      <c r="C172" s="158" t="s">
        <v>25</v>
      </c>
      <c r="D172" s="158" t="s">
        <v>26</v>
      </c>
      <c r="E172" s="158" t="s">
        <v>11</v>
      </c>
      <c r="F172" s="158" t="s">
        <v>5</v>
      </c>
      <c r="G172" s="42"/>
      <c r="H172" s="42" t="s">
        <v>825</v>
      </c>
    </row>
    <row r="173" spans="1:8" ht="75" x14ac:dyDescent="0.25">
      <c r="A173" s="158">
        <v>49</v>
      </c>
      <c r="B173" s="178" t="s">
        <v>226</v>
      </c>
      <c r="C173" s="158" t="s">
        <v>25</v>
      </c>
      <c r="D173" s="158" t="s">
        <v>26</v>
      </c>
      <c r="E173" s="158" t="s">
        <v>27</v>
      </c>
      <c r="F173" s="158" t="s">
        <v>5</v>
      </c>
      <c r="G173" s="42"/>
      <c r="H173" s="42" t="s">
        <v>825</v>
      </c>
    </row>
    <row r="174" spans="1:8" ht="45" x14ac:dyDescent="0.25">
      <c r="A174" s="158">
        <v>49</v>
      </c>
      <c r="B174" s="178" t="s">
        <v>227</v>
      </c>
      <c r="C174" s="158" t="s">
        <v>25</v>
      </c>
      <c r="D174" s="158" t="s">
        <v>26</v>
      </c>
      <c r="E174" s="158" t="s">
        <v>11</v>
      </c>
      <c r="F174" s="158" t="s">
        <v>5</v>
      </c>
      <c r="G174" s="158" t="s">
        <v>722</v>
      </c>
      <c r="H174" s="158" t="s">
        <v>833</v>
      </c>
    </row>
    <row r="175" spans="1:8" ht="45" x14ac:dyDescent="0.25">
      <c r="A175" s="158">
        <v>49</v>
      </c>
      <c r="B175" s="178" t="s">
        <v>228</v>
      </c>
      <c r="C175" s="158" t="s">
        <v>149</v>
      </c>
      <c r="D175" s="158" t="s">
        <v>23</v>
      </c>
      <c r="E175" s="158" t="s">
        <v>3</v>
      </c>
      <c r="F175" s="158" t="s">
        <v>8</v>
      </c>
      <c r="G175" s="158" t="s">
        <v>684</v>
      </c>
      <c r="H175" s="158" t="s">
        <v>824</v>
      </c>
    </row>
    <row r="176" spans="1:8" ht="30" x14ac:dyDescent="0.25">
      <c r="A176" s="158">
        <v>49</v>
      </c>
      <c r="B176" s="178" t="s">
        <v>229</v>
      </c>
      <c r="C176" s="158"/>
      <c r="D176" s="158" t="s">
        <v>68</v>
      </c>
      <c r="E176" s="158" t="s">
        <v>739</v>
      </c>
      <c r="F176" s="158"/>
      <c r="G176" s="160" t="s">
        <v>688</v>
      </c>
      <c r="H176" s="42"/>
    </row>
    <row r="177" spans="1:8" ht="45" x14ac:dyDescent="0.25">
      <c r="A177" s="158">
        <v>49</v>
      </c>
      <c r="B177" s="178" t="s">
        <v>230</v>
      </c>
      <c r="C177" s="158"/>
      <c r="D177" s="158" t="s">
        <v>68</v>
      </c>
      <c r="E177" s="158" t="s">
        <v>739</v>
      </c>
      <c r="F177" s="158"/>
      <c r="G177" s="160" t="s">
        <v>688</v>
      </c>
      <c r="H177" s="42"/>
    </row>
    <row r="178" spans="1:8" ht="45" x14ac:dyDescent="0.25">
      <c r="A178" s="158">
        <v>49</v>
      </c>
      <c r="B178" s="178" t="s">
        <v>231</v>
      </c>
      <c r="C178" s="158" t="s">
        <v>22</v>
      </c>
      <c r="D178" s="158" t="s">
        <v>23</v>
      </c>
      <c r="E178" s="158" t="s">
        <v>3</v>
      </c>
      <c r="F178" s="158" t="s">
        <v>6</v>
      </c>
      <c r="G178" s="42"/>
      <c r="H178" s="42" t="s">
        <v>840</v>
      </c>
    </row>
    <row r="179" spans="1:8" ht="135" x14ac:dyDescent="0.25">
      <c r="A179" s="158">
        <v>50</v>
      </c>
      <c r="B179" s="178" t="s">
        <v>232</v>
      </c>
      <c r="C179" s="158" t="s">
        <v>25</v>
      </c>
      <c r="D179" s="158" t="s">
        <v>26</v>
      </c>
      <c r="E179" s="158" t="s">
        <v>11</v>
      </c>
      <c r="F179" s="158" t="s">
        <v>5</v>
      </c>
      <c r="G179" s="42"/>
      <c r="H179" s="42" t="s">
        <v>825</v>
      </c>
    </row>
    <row r="180" spans="1:8" ht="60" x14ac:dyDescent="0.25">
      <c r="A180" s="158">
        <v>50</v>
      </c>
      <c r="B180" s="178" t="s">
        <v>233</v>
      </c>
      <c r="C180" s="158" t="s">
        <v>62</v>
      </c>
      <c r="D180" s="158" t="s">
        <v>63</v>
      </c>
      <c r="E180" s="158" t="s">
        <v>699</v>
      </c>
      <c r="F180" s="158"/>
      <c r="G180" s="42"/>
      <c r="H180" s="42" t="s">
        <v>828</v>
      </c>
    </row>
    <row r="181" spans="1:8" ht="45" x14ac:dyDescent="0.25">
      <c r="A181" s="158">
        <v>50</v>
      </c>
      <c r="B181" s="178" t="s">
        <v>234</v>
      </c>
      <c r="C181" s="158" t="s">
        <v>51</v>
      </c>
      <c r="D181" s="158" t="s">
        <v>23</v>
      </c>
      <c r="E181" s="158" t="s">
        <v>3</v>
      </c>
      <c r="F181" s="158" t="s">
        <v>8</v>
      </c>
      <c r="G181" s="42"/>
      <c r="H181" s="42" t="s">
        <v>824</v>
      </c>
    </row>
    <row r="182" spans="1:8" ht="60" x14ac:dyDescent="0.25">
      <c r="A182" s="158">
        <v>50</v>
      </c>
      <c r="B182" s="178" t="s">
        <v>235</v>
      </c>
      <c r="C182" s="158"/>
      <c r="D182" s="158" t="s">
        <v>45</v>
      </c>
      <c r="E182" s="158" t="s">
        <v>741</v>
      </c>
      <c r="F182" s="158"/>
      <c r="G182" s="160" t="s">
        <v>688</v>
      </c>
      <c r="H182" s="42"/>
    </row>
    <row r="183" spans="1:8" ht="60" x14ac:dyDescent="0.25">
      <c r="A183" s="158">
        <v>50</v>
      </c>
      <c r="B183" s="178" t="s">
        <v>236</v>
      </c>
      <c r="C183" s="158" t="s">
        <v>36</v>
      </c>
      <c r="D183" s="158" t="s">
        <v>37</v>
      </c>
      <c r="E183" s="158" t="s">
        <v>131</v>
      </c>
      <c r="F183" s="158" t="s">
        <v>39</v>
      </c>
      <c r="G183" s="42"/>
      <c r="H183" s="42" t="s">
        <v>824</v>
      </c>
    </row>
    <row r="184" spans="1:8" ht="60" x14ac:dyDescent="0.25">
      <c r="A184" s="158">
        <v>50</v>
      </c>
      <c r="B184" s="178" t="s">
        <v>237</v>
      </c>
      <c r="C184" s="158" t="s">
        <v>22</v>
      </c>
      <c r="D184" s="158" t="s">
        <v>33</v>
      </c>
      <c r="E184" s="158" t="s">
        <v>699</v>
      </c>
      <c r="F184" s="158"/>
      <c r="G184" s="42"/>
      <c r="H184" s="42" t="s">
        <v>828</v>
      </c>
    </row>
    <row r="185" spans="1:8" ht="105" x14ac:dyDescent="0.25">
      <c r="A185" s="158">
        <v>50</v>
      </c>
      <c r="B185" s="181" t="s">
        <v>238</v>
      </c>
      <c r="C185" s="180" t="s">
        <v>240</v>
      </c>
      <c r="D185" s="180" t="s">
        <v>241</v>
      </c>
      <c r="E185" s="180"/>
      <c r="F185" s="180" t="s">
        <v>242</v>
      </c>
      <c r="G185" s="42"/>
      <c r="H185" s="42" t="s">
        <v>825</v>
      </c>
    </row>
    <row r="186" spans="1:8" x14ac:dyDescent="0.25">
      <c r="A186" s="158">
        <v>50</v>
      </c>
      <c r="B186" s="178" t="s">
        <v>239</v>
      </c>
      <c r="C186" s="180"/>
      <c r="D186" s="180"/>
      <c r="E186" s="180"/>
      <c r="F186" s="180"/>
      <c r="G186" s="42"/>
      <c r="H186" s="42"/>
    </row>
    <row r="187" spans="1:8" ht="30" x14ac:dyDescent="0.25">
      <c r="A187" s="158">
        <v>50</v>
      </c>
      <c r="B187" s="181" t="s">
        <v>243</v>
      </c>
      <c r="C187" s="158" t="s">
        <v>25</v>
      </c>
      <c r="D187" s="158" t="s">
        <v>26</v>
      </c>
      <c r="E187" s="158" t="s">
        <v>4</v>
      </c>
      <c r="F187" s="158"/>
      <c r="G187" s="42"/>
      <c r="H187" s="42" t="s">
        <v>826</v>
      </c>
    </row>
    <row r="188" spans="1:8" ht="30" x14ac:dyDescent="0.25">
      <c r="A188" s="158">
        <v>51</v>
      </c>
      <c r="B188" s="178" t="s">
        <v>244</v>
      </c>
      <c r="C188" s="158" t="s">
        <v>25</v>
      </c>
      <c r="D188" s="158" t="s">
        <v>26</v>
      </c>
      <c r="E188" s="158" t="s">
        <v>4</v>
      </c>
      <c r="F188" s="158"/>
      <c r="G188" s="42"/>
      <c r="H188" s="42" t="s">
        <v>827</v>
      </c>
    </row>
    <row r="189" spans="1:8" ht="60" x14ac:dyDescent="0.25">
      <c r="A189" s="158">
        <v>51</v>
      </c>
      <c r="B189" s="158" t="s">
        <v>245</v>
      </c>
      <c r="C189" s="158" t="s">
        <v>62</v>
      </c>
      <c r="D189" s="158" t="s">
        <v>63</v>
      </c>
      <c r="E189" s="158" t="s">
        <v>699</v>
      </c>
      <c r="F189" s="158"/>
      <c r="G189" s="42"/>
      <c r="H189" s="42" t="s">
        <v>828</v>
      </c>
    </row>
    <row r="190" spans="1:8" ht="45" x14ac:dyDescent="0.25">
      <c r="A190" s="158">
        <v>51</v>
      </c>
      <c r="B190" s="158" t="s">
        <v>246</v>
      </c>
      <c r="C190" s="158" t="s">
        <v>36</v>
      </c>
      <c r="D190" s="158" t="s">
        <v>37</v>
      </c>
      <c r="E190" s="158" t="s">
        <v>38</v>
      </c>
      <c r="F190" s="158" t="s">
        <v>39</v>
      </c>
      <c r="G190" s="42"/>
      <c r="H190" s="42" t="s">
        <v>824</v>
      </c>
    </row>
    <row r="191" spans="1:8" ht="75" x14ac:dyDescent="0.25">
      <c r="A191" s="158">
        <v>51</v>
      </c>
      <c r="B191" s="158" t="s">
        <v>247</v>
      </c>
      <c r="C191" s="158" t="s">
        <v>25</v>
      </c>
      <c r="D191" s="158" t="s">
        <v>26</v>
      </c>
      <c r="E191" s="158" t="s">
        <v>27</v>
      </c>
      <c r="F191" s="158" t="s">
        <v>10</v>
      </c>
      <c r="G191" s="42"/>
      <c r="H191" s="42" t="s">
        <v>825</v>
      </c>
    </row>
    <row r="192" spans="1:8" ht="30" x14ac:dyDescent="0.25">
      <c r="A192" s="158">
        <v>51</v>
      </c>
      <c r="B192" s="158" t="s">
        <v>221</v>
      </c>
      <c r="C192" s="158" t="s">
        <v>25</v>
      </c>
      <c r="D192" s="158" t="s">
        <v>26</v>
      </c>
      <c r="E192" s="158" t="s">
        <v>4</v>
      </c>
      <c r="F192" s="158"/>
      <c r="G192" s="42"/>
      <c r="H192" s="42" t="s">
        <v>826</v>
      </c>
    </row>
    <row r="193" spans="1:8" ht="63" x14ac:dyDescent="0.25">
      <c r="A193" s="158">
        <v>51</v>
      </c>
      <c r="B193" s="158" t="s">
        <v>248</v>
      </c>
      <c r="C193" s="158" t="s">
        <v>22</v>
      </c>
      <c r="D193" s="158" t="s">
        <v>33</v>
      </c>
      <c r="E193" s="158" t="s">
        <v>699</v>
      </c>
      <c r="F193" s="158"/>
      <c r="G193" s="42"/>
      <c r="H193" s="42" t="s">
        <v>828</v>
      </c>
    </row>
    <row r="194" spans="1:8" ht="45" x14ac:dyDescent="0.25">
      <c r="A194" s="158">
        <v>51</v>
      </c>
      <c r="B194" s="158" t="s">
        <v>249</v>
      </c>
      <c r="C194" s="158" t="s">
        <v>25</v>
      </c>
      <c r="D194" s="158" t="s">
        <v>26</v>
      </c>
      <c r="E194" s="158" t="s">
        <v>1</v>
      </c>
      <c r="F194" s="158" t="s">
        <v>10</v>
      </c>
      <c r="G194" s="42"/>
      <c r="H194" s="42" t="s">
        <v>825</v>
      </c>
    </row>
    <row r="195" spans="1:8" ht="45" x14ac:dyDescent="0.25">
      <c r="A195" s="158">
        <v>51</v>
      </c>
      <c r="B195" s="158" t="s">
        <v>250</v>
      </c>
      <c r="C195" s="158" t="s">
        <v>22</v>
      </c>
      <c r="D195" s="158" t="s">
        <v>23</v>
      </c>
      <c r="E195" s="158" t="s">
        <v>3</v>
      </c>
      <c r="F195" s="158" t="s">
        <v>8</v>
      </c>
      <c r="G195" s="42"/>
      <c r="H195" s="42" t="s">
        <v>824</v>
      </c>
    </row>
    <row r="196" spans="1:8" ht="45" x14ac:dyDescent="0.25">
      <c r="A196" s="158">
        <v>51</v>
      </c>
      <c r="B196" s="178" t="s">
        <v>251</v>
      </c>
      <c r="C196" s="158" t="s">
        <v>25</v>
      </c>
      <c r="D196" s="158" t="s">
        <v>26</v>
      </c>
      <c r="E196" s="158" t="s">
        <v>11</v>
      </c>
      <c r="F196" s="158" t="s">
        <v>10</v>
      </c>
      <c r="G196" s="158" t="s">
        <v>722</v>
      </c>
      <c r="H196" s="158" t="s">
        <v>833</v>
      </c>
    </row>
    <row r="197" spans="1:8" ht="30" x14ac:dyDescent="0.25">
      <c r="A197" s="158">
        <v>51</v>
      </c>
      <c r="B197" s="178" t="s">
        <v>252</v>
      </c>
      <c r="C197" s="158" t="s">
        <v>47</v>
      </c>
      <c r="D197" s="158" t="s">
        <v>48</v>
      </c>
      <c r="E197" s="158" t="s">
        <v>49</v>
      </c>
      <c r="F197" s="158"/>
      <c r="G197" s="42"/>
      <c r="H197" s="42" t="s">
        <v>844</v>
      </c>
    </row>
    <row r="198" spans="1:8" ht="31.5" x14ac:dyDescent="0.25">
      <c r="A198" s="158">
        <v>51</v>
      </c>
      <c r="B198" s="188" t="s">
        <v>253</v>
      </c>
      <c r="C198" s="158" t="s">
        <v>82</v>
      </c>
      <c r="D198" s="158" t="s">
        <v>26</v>
      </c>
      <c r="E198" s="158" t="s">
        <v>11</v>
      </c>
      <c r="F198" s="158" t="s">
        <v>10</v>
      </c>
      <c r="G198" s="42"/>
      <c r="H198" s="42" t="s">
        <v>848</v>
      </c>
    </row>
    <row r="199" spans="1:8" ht="30" x14ac:dyDescent="0.25">
      <c r="A199" s="158">
        <v>51</v>
      </c>
      <c r="B199" s="188" t="s">
        <v>88</v>
      </c>
      <c r="C199" s="158"/>
      <c r="D199" s="158" t="s">
        <v>68</v>
      </c>
      <c r="E199" s="158" t="s">
        <v>739</v>
      </c>
      <c r="F199" s="158"/>
      <c r="G199" s="160" t="s">
        <v>689</v>
      </c>
      <c r="H199" s="42"/>
    </row>
    <row r="200" spans="1:8" ht="38.25" x14ac:dyDescent="0.25">
      <c r="A200" s="158">
        <v>51</v>
      </c>
      <c r="B200" s="188" t="s">
        <v>254</v>
      </c>
      <c r="C200" s="158" t="s">
        <v>22</v>
      </c>
      <c r="D200" s="158" t="s">
        <v>23</v>
      </c>
      <c r="E200" s="158" t="s">
        <v>3</v>
      </c>
      <c r="F200" s="158" t="s">
        <v>8</v>
      </c>
      <c r="G200" s="158"/>
      <c r="H200" s="42" t="s">
        <v>840</v>
      </c>
    </row>
    <row r="201" spans="1:8" ht="60" x14ac:dyDescent="0.25">
      <c r="A201" s="158">
        <v>52</v>
      </c>
      <c r="B201" s="178" t="s">
        <v>255</v>
      </c>
      <c r="C201" s="158" t="s">
        <v>62</v>
      </c>
      <c r="D201" s="158" t="s">
        <v>63</v>
      </c>
      <c r="E201" s="158" t="s">
        <v>699</v>
      </c>
      <c r="F201" s="158"/>
      <c r="G201" s="42"/>
      <c r="H201" s="42" t="s">
        <v>828</v>
      </c>
    </row>
    <row r="202" spans="1:8" ht="122.25" x14ac:dyDescent="0.25">
      <c r="A202" s="158">
        <v>52</v>
      </c>
      <c r="B202" s="178" t="s">
        <v>256</v>
      </c>
      <c r="C202" s="158" t="s">
        <v>62</v>
      </c>
      <c r="D202" s="158" t="s">
        <v>63</v>
      </c>
      <c r="E202" s="158" t="s">
        <v>699</v>
      </c>
      <c r="F202" s="158"/>
      <c r="G202" s="42"/>
      <c r="H202" s="42" t="s">
        <v>828</v>
      </c>
    </row>
    <row r="203" spans="1:8" ht="30" x14ac:dyDescent="0.25">
      <c r="A203" s="158">
        <v>52</v>
      </c>
      <c r="B203" s="178" t="s">
        <v>257</v>
      </c>
      <c r="C203" s="158" t="s">
        <v>25</v>
      </c>
      <c r="D203" s="158" t="s">
        <v>26</v>
      </c>
      <c r="E203" s="158" t="s">
        <v>4</v>
      </c>
      <c r="F203" s="158"/>
      <c r="G203" s="42"/>
      <c r="H203" s="42" t="s">
        <v>826</v>
      </c>
    </row>
    <row r="204" spans="1:8" ht="30" x14ac:dyDescent="0.25">
      <c r="A204" s="158">
        <v>52</v>
      </c>
      <c r="B204" s="178" t="s">
        <v>258</v>
      </c>
      <c r="C204" s="158" t="s">
        <v>25</v>
      </c>
      <c r="D204" s="158" t="s">
        <v>26</v>
      </c>
      <c r="E204" s="158" t="s">
        <v>27</v>
      </c>
      <c r="F204" s="158" t="s">
        <v>5</v>
      </c>
      <c r="G204" s="42"/>
      <c r="H204" s="42" t="s">
        <v>848</v>
      </c>
    </row>
    <row r="205" spans="1:8" ht="45" x14ac:dyDescent="0.25">
      <c r="A205" s="158">
        <v>52</v>
      </c>
      <c r="B205" s="178" t="s">
        <v>259</v>
      </c>
      <c r="C205" s="158" t="s">
        <v>22</v>
      </c>
      <c r="D205" s="158" t="s">
        <v>23</v>
      </c>
      <c r="E205" s="158" t="s">
        <v>3</v>
      </c>
      <c r="F205" s="158" t="s">
        <v>8</v>
      </c>
      <c r="G205" s="42"/>
      <c r="H205" s="42" t="s">
        <v>831</v>
      </c>
    </row>
    <row r="206" spans="1:8" ht="30" x14ac:dyDescent="0.25">
      <c r="A206" s="158">
        <v>52</v>
      </c>
      <c r="B206" s="186" t="s">
        <v>260</v>
      </c>
      <c r="C206" s="180"/>
      <c r="D206" s="180" t="s">
        <v>68</v>
      </c>
      <c r="E206" s="180" t="s">
        <v>742</v>
      </c>
      <c r="F206" s="158" t="s">
        <v>743</v>
      </c>
      <c r="G206" s="42"/>
      <c r="H206" s="42"/>
    </row>
    <row r="207" spans="1:8" ht="30" x14ac:dyDescent="0.25">
      <c r="A207" s="158">
        <v>52</v>
      </c>
      <c r="B207" s="186"/>
      <c r="C207" s="180"/>
      <c r="D207" s="180"/>
      <c r="E207" s="180"/>
      <c r="F207" s="158" t="s">
        <v>746</v>
      </c>
      <c r="G207" s="160" t="s">
        <v>688</v>
      </c>
      <c r="H207" s="42"/>
    </row>
    <row r="208" spans="1:8" ht="60" x14ac:dyDescent="0.25">
      <c r="A208" s="158">
        <v>52</v>
      </c>
      <c r="B208" s="178" t="s">
        <v>262</v>
      </c>
      <c r="C208" s="158" t="s">
        <v>193</v>
      </c>
      <c r="D208" s="158" t="s">
        <v>63</v>
      </c>
      <c r="E208" s="158" t="s">
        <v>699</v>
      </c>
      <c r="F208" s="158"/>
      <c r="G208" s="42"/>
      <c r="H208" s="42" t="s">
        <v>828</v>
      </c>
    </row>
    <row r="209" spans="1:8" ht="45" x14ac:dyDescent="0.25">
      <c r="A209" s="158">
        <v>52</v>
      </c>
      <c r="B209" s="182" t="s">
        <v>263</v>
      </c>
      <c r="C209" s="158" t="s">
        <v>51</v>
      </c>
      <c r="D209" s="158" t="s">
        <v>33</v>
      </c>
      <c r="E209" s="158" t="s">
        <v>12</v>
      </c>
      <c r="F209" s="158"/>
      <c r="G209" s="158" t="s">
        <v>684</v>
      </c>
      <c r="H209" s="42" t="s">
        <v>824</v>
      </c>
    </row>
    <row r="210" spans="1:8" ht="45" x14ac:dyDescent="0.25">
      <c r="A210" s="158">
        <v>52</v>
      </c>
      <c r="B210" s="182" t="s">
        <v>264</v>
      </c>
      <c r="C210" s="158"/>
      <c r="D210" s="158" t="s">
        <v>45</v>
      </c>
      <c r="E210" s="158" t="s">
        <v>496</v>
      </c>
      <c r="F210" s="158"/>
      <c r="G210" s="160" t="s">
        <v>690</v>
      </c>
      <c r="H210" s="42"/>
    </row>
    <row r="211" spans="1:8" ht="30" x14ac:dyDescent="0.25">
      <c r="A211" s="158">
        <v>52</v>
      </c>
      <c r="B211" s="178" t="s">
        <v>265</v>
      </c>
      <c r="C211" s="158" t="s">
        <v>25</v>
      </c>
      <c r="D211" s="158" t="s">
        <v>26</v>
      </c>
      <c r="E211" s="158" t="s">
        <v>1</v>
      </c>
      <c r="F211" s="158" t="s">
        <v>10</v>
      </c>
      <c r="G211" s="42"/>
      <c r="H211" s="42" t="s">
        <v>843</v>
      </c>
    </row>
    <row r="212" spans="1:8" ht="45" x14ac:dyDescent="0.25">
      <c r="A212" s="158">
        <v>52</v>
      </c>
      <c r="B212" s="178" t="s">
        <v>266</v>
      </c>
      <c r="C212" s="158" t="s">
        <v>82</v>
      </c>
      <c r="D212" s="158" t="s">
        <v>26</v>
      </c>
      <c r="E212" s="158" t="s">
        <v>1</v>
      </c>
      <c r="F212" s="158" t="s">
        <v>2</v>
      </c>
      <c r="G212" s="42"/>
      <c r="H212" s="42" t="s">
        <v>827</v>
      </c>
    </row>
    <row r="213" spans="1:8" ht="30" x14ac:dyDescent="0.25">
      <c r="A213" s="158">
        <v>52</v>
      </c>
      <c r="B213" s="178" t="s">
        <v>267</v>
      </c>
      <c r="C213" s="158"/>
      <c r="D213" s="158" t="s">
        <v>68</v>
      </c>
      <c r="E213" s="158" t="s">
        <v>0</v>
      </c>
      <c r="F213" s="158"/>
      <c r="G213" s="160" t="s">
        <v>689</v>
      </c>
      <c r="H213" s="42"/>
    </row>
    <row r="214" spans="1:8" ht="60" x14ac:dyDescent="0.25">
      <c r="A214" s="158">
        <v>52</v>
      </c>
      <c r="B214" s="178" t="s">
        <v>268</v>
      </c>
      <c r="C214" s="158" t="s">
        <v>62</v>
      </c>
      <c r="D214" s="158" t="s">
        <v>63</v>
      </c>
      <c r="E214" s="158" t="s">
        <v>699</v>
      </c>
      <c r="F214" s="158"/>
      <c r="G214" s="42"/>
      <c r="H214" s="42" t="s">
        <v>828</v>
      </c>
    </row>
    <row r="215" spans="1:8" ht="60" x14ac:dyDescent="0.25">
      <c r="A215" s="158">
        <v>52</v>
      </c>
      <c r="B215" s="178" t="s">
        <v>269</v>
      </c>
      <c r="C215" s="158" t="s">
        <v>62</v>
      </c>
      <c r="D215" s="158" t="s">
        <v>63</v>
      </c>
      <c r="E215" s="158" t="s">
        <v>699</v>
      </c>
      <c r="F215" s="158"/>
      <c r="G215" s="42"/>
      <c r="H215" s="42" t="s">
        <v>828</v>
      </c>
    </row>
    <row r="216" spans="1:8" ht="107.25" x14ac:dyDescent="0.25">
      <c r="A216" s="158">
        <v>52</v>
      </c>
      <c r="B216" s="178" t="s">
        <v>270</v>
      </c>
      <c r="C216" s="158" t="s">
        <v>22</v>
      </c>
      <c r="D216" s="158" t="s">
        <v>23</v>
      </c>
      <c r="E216" s="158" t="s">
        <v>3</v>
      </c>
      <c r="F216" s="158" t="s">
        <v>8</v>
      </c>
      <c r="G216" s="42"/>
      <c r="H216" s="42" t="s">
        <v>824</v>
      </c>
    </row>
    <row r="217" spans="1:8" ht="30" x14ac:dyDescent="0.25">
      <c r="A217" s="158">
        <v>52</v>
      </c>
      <c r="B217" s="178" t="s">
        <v>271</v>
      </c>
      <c r="C217" s="158" t="s">
        <v>62</v>
      </c>
      <c r="D217" s="158" t="s">
        <v>63</v>
      </c>
      <c r="E217" s="158" t="s">
        <v>698</v>
      </c>
      <c r="F217" s="158"/>
      <c r="G217" s="42"/>
      <c r="H217" s="42" t="s">
        <v>828</v>
      </c>
    </row>
    <row r="218" spans="1:8" ht="60" x14ac:dyDescent="0.25">
      <c r="A218" s="158">
        <v>52</v>
      </c>
      <c r="B218" s="178" t="s">
        <v>272</v>
      </c>
      <c r="C218" s="158" t="s">
        <v>22</v>
      </c>
      <c r="D218" s="158" t="s">
        <v>33</v>
      </c>
      <c r="E218" s="158" t="s">
        <v>699</v>
      </c>
      <c r="F218" s="158"/>
      <c r="G218" s="42"/>
      <c r="H218" s="42" t="s">
        <v>828</v>
      </c>
    </row>
    <row r="219" spans="1:8" ht="45" x14ac:dyDescent="0.25">
      <c r="A219" s="158">
        <v>52</v>
      </c>
      <c r="B219" s="178" t="s">
        <v>273</v>
      </c>
      <c r="C219" s="158" t="s">
        <v>25</v>
      </c>
      <c r="D219" s="158" t="s">
        <v>26</v>
      </c>
      <c r="E219" s="158" t="s">
        <v>11</v>
      </c>
      <c r="F219" s="158" t="s">
        <v>10</v>
      </c>
      <c r="G219" s="158" t="s">
        <v>720</v>
      </c>
      <c r="H219" s="158" t="s">
        <v>841</v>
      </c>
    </row>
    <row r="220" spans="1:8" ht="45" x14ac:dyDescent="0.25">
      <c r="A220" s="158">
        <v>52</v>
      </c>
      <c r="B220" s="178" t="s">
        <v>274</v>
      </c>
      <c r="C220" s="158" t="s">
        <v>25</v>
      </c>
      <c r="D220" s="158" t="s">
        <v>26</v>
      </c>
      <c r="E220" s="158" t="s">
        <v>11</v>
      </c>
      <c r="F220" s="158" t="s">
        <v>10</v>
      </c>
      <c r="G220" s="158" t="s">
        <v>722</v>
      </c>
      <c r="H220" s="158" t="s">
        <v>833</v>
      </c>
    </row>
    <row r="221" spans="1:8" ht="60" x14ac:dyDescent="0.25">
      <c r="A221" s="158">
        <v>52</v>
      </c>
      <c r="B221" s="178" t="s">
        <v>275</v>
      </c>
      <c r="C221" s="158" t="s">
        <v>22</v>
      </c>
      <c r="D221" s="158" t="s">
        <v>23</v>
      </c>
      <c r="E221" s="158" t="s">
        <v>3</v>
      </c>
      <c r="F221" s="158" t="s">
        <v>8</v>
      </c>
      <c r="G221" s="42"/>
      <c r="H221" s="42" t="s">
        <v>831</v>
      </c>
    </row>
    <row r="222" spans="1:8" ht="30" x14ac:dyDescent="0.25">
      <c r="A222" s="158">
        <v>52</v>
      </c>
      <c r="B222" s="178" t="s">
        <v>276</v>
      </c>
      <c r="C222" s="158" t="s">
        <v>47</v>
      </c>
      <c r="D222" s="158" t="s">
        <v>48</v>
      </c>
      <c r="E222" s="158" t="s">
        <v>49</v>
      </c>
      <c r="F222" s="158"/>
      <c r="G222" s="42"/>
      <c r="H222" s="42" t="s">
        <v>844</v>
      </c>
    </row>
    <row r="223" spans="1:8" ht="30" x14ac:dyDescent="0.25">
      <c r="A223" s="158">
        <v>52</v>
      </c>
      <c r="B223" s="178" t="s">
        <v>277</v>
      </c>
      <c r="C223" s="158" t="s">
        <v>36</v>
      </c>
      <c r="D223" s="158" t="s">
        <v>37</v>
      </c>
      <c r="E223" s="158" t="s">
        <v>131</v>
      </c>
      <c r="F223" s="158" t="s">
        <v>39</v>
      </c>
      <c r="G223" s="42"/>
      <c r="H223" s="42" t="s">
        <v>846</v>
      </c>
    </row>
    <row r="224" spans="1:8" ht="165" x14ac:dyDescent="0.25">
      <c r="A224" s="158">
        <v>53</v>
      </c>
      <c r="B224" s="178" t="s">
        <v>278</v>
      </c>
      <c r="C224" s="158" t="s">
        <v>25</v>
      </c>
      <c r="D224" s="158" t="s">
        <v>26</v>
      </c>
      <c r="E224" s="158" t="s">
        <v>9</v>
      </c>
      <c r="F224" s="158" t="s">
        <v>5</v>
      </c>
      <c r="G224" s="158" t="s">
        <v>850</v>
      </c>
      <c r="H224" s="158" t="s">
        <v>851</v>
      </c>
    </row>
    <row r="225" spans="1:8" ht="60" x14ac:dyDescent="0.25">
      <c r="A225" s="158">
        <v>53</v>
      </c>
      <c r="B225" s="178" t="s">
        <v>279</v>
      </c>
      <c r="C225" s="158" t="s">
        <v>25</v>
      </c>
      <c r="D225" s="158" t="s">
        <v>26</v>
      </c>
      <c r="E225" s="158" t="s">
        <v>1</v>
      </c>
      <c r="F225" s="158" t="s">
        <v>5</v>
      </c>
      <c r="G225" s="42"/>
      <c r="H225" s="42" t="s">
        <v>825</v>
      </c>
    </row>
    <row r="226" spans="1:8" ht="45" x14ac:dyDescent="0.25">
      <c r="A226" s="158">
        <v>53</v>
      </c>
      <c r="B226" s="178" t="s">
        <v>280</v>
      </c>
      <c r="C226" s="158" t="s">
        <v>22</v>
      </c>
      <c r="D226" s="158" t="s">
        <v>281</v>
      </c>
      <c r="E226" s="158" t="s">
        <v>3</v>
      </c>
      <c r="F226" s="158"/>
      <c r="G226" s="42"/>
      <c r="H226" s="42" t="s">
        <v>846</v>
      </c>
    </row>
    <row r="227" spans="1:8" ht="30" x14ac:dyDescent="0.25">
      <c r="A227" s="158">
        <v>53</v>
      </c>
      <c r="B227" s="178" t="s">
        <v>282</v>
      </c>
      <c r="C227" s="158" t="s">
        <v>25</v>
      </c>
      <c r="D227" s="158" t="s">
        <v>26</v>
      </c>
      <c r="E227" s="158" t="s">
        <v>27</v>
      </c>
      <c r="F227" s="158" t="s">
        <v>5</v>
      </c>
      <c r="G227" s="42"/>
      <c r="H227" s="42" t="s">
        <v>826</v>
      </c>
    </row>
    <row r="228" spans="1:8" ht="30" x14ac:dyDescent="0.25">
      <c r="A228" s="158">
        <v>53</v>
      </c>
      <c r="B228" s="178" t="s">
        <v>283</v>
      </c>
      <c r="C228" s="158" t="s">
        <v>103</v>
      </c>
      <c r="D228" s="158" t="s">
        <v>42</v>
      </c>
      <c r="E228" s="158"/>
      <c r="F228" s="158" t="s">
        <v>104</v>
      </c>
      <c r="G228" s="42"/>
      <c r="H228" s="42" t="s">
        <v>852</v>
      </c>
    </row>
    <row r="229" spans="1:8" ht="45" x14ac:dyDescent="0.25">
      <c r="A229" s="158">
        <v>53</v>
      </c>
      <c r="B229" s="178" t="s">
        <v>284</v>
      </c>
      <c r="C229" s="158" t="s">
        <v>22</v>
      </c>
      <c r="D229" s="158" t="s">
        <v>23</v>
      </c>
      <c r="E229" s="158" t="s">
        <v>3</v>
      </c>
      <c r="F229" s="158" t="s">
        <v>6</v>
      </c>
      <c r="G229" s="42"/>
      <c r="H229" s="42" t="s">
        <v>824</v>
      </c>
    </row>
    <row r="230" spans="1:8" ht="45" x14ac:dyDescent="0.25">
      <c r="A230" s="158">
        <v>53</v>
      </c>
      <c r="B230" s="178" t="s">
        <v>285</v>
      </c>
      <c r="C230" s="158" t="s">
        <v>22</v>
      </c>
      <c r="D230" s="158" t="s">
        <v>23</v>
      </c>
      <c r="E230" s="158" t="s">
        <v>3</v>
      </c>
      <c r="F230" s="158" t="s">
        <v>8</v>
      </c>
      <c r="G230" s="42"/>
      <c r="H230" s="42" t="s">
        <v>824</v>
      </c>
    </row>
    <row r="231" spans="1:8" ht="45" x14ac:dyDescent="0.25">
      <c r="A231" s="158">
        <v>53</v>
      </c>
      <c r="B231" s="178" t="s">
        <v>286</v>
      </c>
      <c r="C231" s="158" t="s">
        <v>22</v>
      </c>
      <c r="D231" s="158" t="s">
        <v>23</v>
      </c>
      <c r="E231" s="158" t="s">
        <v>3</v>
      </c>
      <c r="F231" s="158" t="s">
        <v>8</v>
      </c>
      <c r="G231" s="42"/>
      <c r="H231" s="42" t="s">
        <v>840</v>
      </c>
    </row>
    <row r="232" spans="1:8" ht="45" x14ac:dyDescent="0.25">
      <c r="A232" s="158">
        <v>53</v>
      </c>
      <c r="B232" s="178" t="s">
        <v>287</v>
      </c>
      <c r="C232" s="158" t="s">
        <v>22</v>
      </c>
      <c r="D232" s="158" t="s">
        <v>23</v>
      </c>
      <c r="E232" s="158" t="s">
        <v>3</v>
      </c>
      <c r="F232" s="158" t="s">
        <v>8</v>
      </c>
      <c r="G232" s="42"/>
      <c r="H232" s="42" t="s">
        <v>840</v>
      </c>
    </row>
    <row r="233" spans="1:8" ht="75" x14ac:dyDescent="0.25">
      <c r="A233" s="158">
        <v>53</v>
      </c>
      <c r="B233" s="178" t="s">
        <v>288</v>
      </c>
      <c r="C233" s="158" t="s">
        <v>22</v>
      </c>
      <c r="D233" s="158" t="s">
        <v>23</v>
      </c>
      <c r="E233" s="158" t="s">
        <v>3</v>
      </c>
      <c r="F233" s="158" t="s">
        <v>8</v>
      </c>
      <c r="G233" s="42"/>
      <c r="H233" s="42" t="s">
        <v>824</v>
      </c>
    </row>
    <row r="234" spans="1:8" ht="30" x14ac:dyDescent="0.25">
      <c r="A234" s="158">
        <v>53</v>
      </c>
      <c r="B234" s="178" t="s">
        <v>676</v>
      </c>
      <c r="C234" s="158" t="s">
        <v>51</v>
      </c>
      <c r="D234" s="158" t="s">
        <v>33</v>
      </c>
      <c r="E234" s="158" t="s">
        <v>12</v>
      </c>
      <c r="F234" s="158"/>
      <c r="G234" s="42"/>
      <c r="H234" s="42" t="s">
        <v>828</v>
      </c>
    </row>
    <row r="235" spans="1:8" ht="30" x14ac:dyDescent="0.25">
      <c r="A235" s="158">
        <v>53</v>
      </c>
      <c r="B235" s="178" t="s">
        <v>677</v>
      </c>
      <c r="C235" s="158"/>
      <c r="D235" s="158" t="s">
        <v>68</v>
      </c>
      <c r="E235" s="158" t="s">
        <v>739</v>
      </c>
      <c r="F235" s="158"/>
      <c r="G235" s="160" t="s">
        <v>688</v>
      </c>
      <c r="H235" s="42"/>
    </row>
    <row r="236" spans="1:8" ht="30" x14ac:dyDescent="0.25">
      <c r="A236" s="158">
        <v>53</v>
      </c>
      <c r="B236" s="178" t="s">
        <v>289</v>
      </c>
      <c r="C236" s="158" t="s">
        <v>25</v>
      </c>
      <c r="D236" s="158" t="s">
        <v>26</v>
      </c>
      <c r="E236" s="158" t="s">
        <v>1</v>
      </c>
      <c r="F236" s="158" t="s">
        <v>10</v>
      </c>
      <c r="G236" s="42"/>
      <c r="H236" s="42" t="s">
        <v>825</v>
      </c>
    </row>
    <row r="237" spans="1:8" ht="89.25" customHeight="1" x14ac:dyDescent="0.25">
      <c r="A237" s="158">
        <v>53</v>
      </c>
      <c r="B237" s="186" t="s">
        <v>290</v>
      </c>
      <c r="C237" s="180" t="s">
        <v>62</v>
      </c>
      <c r="D237" s="180" t="s">
        <v>63</v>
      </c>
      <c r="E237" s="158" t="s">
        <v>291</v>
      </c>
      <c r="F237" s="180"/>
      <c r="G237" s="42"/>
      <c r="H237" s="42" t="s">
        <v>828</v>
      </c>
    </row>
    <row r="238" spans="1:8" ht="30" x14ac:dyDescent="0.25">
      <c r="A238" s="158">
        <v>53</v>
      </c>
      <c r="B238" s="186"/>
      <c r="C238" s="180"/>
      <c r="D238" s="180"/>
      <c r="E238" s="158" t="s">
        <v>701</v>
      </c>
      <c r="F238" s="180"/>
      <c r="G238" s="42"/>
      <c r="H238" s="42"/>
    </row>
    <row r="239" spans="1:8" ht="30" x14ac:dyDescent="0.25">
      <c r="A239" s="158">
        <v>53</v>
      </c>
      <c r="B239" s="178" t="s">
        <v>292</v>
      </c>
      <c r="C239" s="158" t="s">
        <v>25</v>
      </c>
      <c r="D239" s="158" t="s">
        <v>26</v>
      </c>
      <c r="E239" s="158" t="s">
        <v>27</v>
      </c>
      <c r="F239" s="158" t="s">
        <v>10</v>
      </c>
      <c r="G239" s="42"/>
      <c r="H239" s="42" t="s">
        <v>834</v>
      </c>
    </row>
    <row r="240" spans="1:8" ht="49.5" x14ac:dyDescent="0.3">
      <c r="A240" s="158">
        <v>53</v>
      </c>
      <c r="B240" s="189" t="s">
        <v>678</v>
      </c>
      <c r="C240" s="190" t="s">
        <v>25</v>
      </c>
      <c r="D240" s="158" t="s">
        <v>26</v>
      </c>
      <c r="E240" s="158" t="s">
        <v>4</v>
      </c>
      <c r="F240" s="158"/>
      <c r="G240" s="160" t="s">
        <v>722</v>
      </c>
      <c r="H240" s="42" t="s">
        <v>833</v>
      </c>
    </row>
    <row r="241" spans="1:8" ht="30" x14ac:dyDescent="0.25">
      <c r="A241" s="158">
        <v>53</v>
      </c>
      <c r="B241" s="178" t="s">
        <v>293</v>
      </c>
      <c r="C241" s="158" t="s">
        <v>25</v>
      </c>
      <c r="D241" s="158" t="s">
        <v>26</v>
      </c>
      <c r="E241" s="158" t="s">
        <v>4</v>
      </c>
      <c r="F241" s="158"/>
      <c r="G241" s="42"/>
      <c r="H241" s="42" t="s">
        <v>827</v>
      </c>
    </row>
    <row r="242" spans="1:8" ht="30" x14ac:dyDescent="0.25">
      <c r="A242" s="158">
        <v>53</v>
      </c>
      <c r="B242" s="178" t="s">
        <v>294</v>
      </c>
      <c r="C242" s="158" t="s">
        <v>25</v>
      </c>
      <c r="D242" s="158" t="s">
        <v>26</v>
      </c>
      <c r="E242" s="158" t="s">
        <v>1</v>
      </c>
      <c r="F242" s="158" t="s">
        <v>5</v>
      </c>
      <c r="G242" s="42"/>
      <c r="H242" s="42" t="s">
        <v>825</v>
      </c>
    </row>
    <row r="243" spans="1:8" ht="60" x14ac:dyDescent="0.25">
      <c r="A243" s="158">
        <v>53</v>
      </c>
      <c r="B243" s="178" t="s">
        <v>295</v>
      </c>
      <c r="C243" s="158" t="s">
        <v>25</v>
      </c>
      <c r="D243" s="158" t="s">
        <v>26</v>
      </c>
      <c r="E243" s="158" t="s">
        <v>1</v>
      </c>
      <c r="F243" s="158" t="s">
        <v>5</v>
      </c>
      <c r="G243" s="42"/>
      <c r="H243" s="42" t="s">
        <v>825</v>
      </c>
    </row>
    <row r="244" spans="1:8" ht="29.25" customHeight="1" x14ac:dyDescent="0.25">
      <c r="A244" s="158">
        <v>53</v>
      </c>
      <c r="B244" s="186" t="s">
        <v>296</v>
      </c>
      <c r="C244" s="180" t="s">
        <v>25</v>
      </c>
      <c r="D244" s="180" t="s">
        <v>26</v>
      </c>
      <c r="E244" s="158" t="s">
        <v>1</v>
      </c>
      <c r="F244" s="180" t="s">
        <v>5</v>
      </c>
      <c r="G244" s="42"/>
      <c r="H244" s="42" t="s">
        <v>825</v>
      </c>
    </row>
    <row r="245" spans="1:8" ht="30" x14ac:dyDescent="0.25">
      <c r="A245" s="158">
        <v>53</v>
      </c>
      <c r="B245" s="186"/>
      <c r="C245" s="180"/>
      <c r="D245" s="180"/>
      <c r="E245" s="158" t="s">
        <v>4</v>
      </c>
      <c r="F245" s="180"/>
      <c r="G245" s="42"/>
      <c r="H245" s="42"/>
    </row>
    <row r="246" spans="1:8" ht="30" x14ac:dyDescent="0.25">
      <c r="A246" s="158">
        <v>53</v>
      </c>
      <c r="B246" s="178" t="s">
        <v>297</v>
      </c>
      <c r="C246" s="158" t="s">
        <v>103</v>
      </c>
      <c r="D246" s="158" t="s">
        <v>42</v>
      </c>
      <c r="E246" s="158"/>
      <c r="F246" s="158" t="s">
        <v>104</v>
      </c>
      <c r="G246" s="42"/>
      <c r="H246" s="42" t="s">
        <v>852</v>
      </c>
    </row>
    <row r="247" spans="1:8" ht="30" x14ac:dyDescent="0.25">
      <c r="A247" s="158">
        <v>53</v>
      </c>
      <c r="B247" s="178" t="s">
        <v>298</v>
      </c>
      <c r="C247" s="158" t="s">
        <v>22</v>
      </c>
      <c r="D247" s="158" t="s">
        <v>33</v>
      </c>
      <c r="E247" s="158" t="s">
        <v>698</v>
      </c>
      <c r="F247" s="158"/>
      <c r="G247" s="42"/>
      <c r="H247" s="42" t="s">
        <v>828</v>
      </c>
    </row>
    <row r="248" spans="1:8" ht="30" x14ac:dyDescent="0.25">
      <c r="A248" s="158">
        <v>53</v>
      </c>
      <c r="B248" s="178" t="s">
        <v>299</v>
      </c>
      <c r="C248" s="158" t="s">
        <v>25</v>
      </c>
      <c r="D248" s="158" t="s">
        <v>26</v>
      </c>
      <c r="E248" s="158" t="s">
        <v>1</v>
      </c>
      <c r="F248" s="158" t="s">
        <v>5</v>
      </c>
      <c r="G248" s="42"/>
      <c r="H248" s="42" t="s">
        <v>827</v>
      </c>
    </row>
    <row r="249" spans="1:8" ht="30" x14ac:dyDescent="0.25">
      <c r="A249" s="158">
        <v>53</v>
      </c>
      <c r="B249" s="178" t="s">
        <v>300</v>
      </c>
      <c r="C249" s="158" t="s">
        <v>25</v>
      </c>
      <c r="D249" s="158" t="s">
        <v>26</v>
      </c>
      <c r="E249" s="158" t="s">
        <v>4</v>
      </c>
      <c r="F249" s="158"/>
      <c r="G249" s="42"/>
      <c r="H249" s="42" t="s">
        <v>826</v>
      </c>
    </row>
    <row r="250" spans="1:8" ht="30" x14ac:dyDescent="0.25">
      <c r="A250" s="158">
        <v>54</v>
      </c>
      <c r="B250" s="178" t="s">
        <v>301</v>
      </c>
      <c r="C250" s="158"/>
      <c r="D250" s="158" t="s">
        <v>68</v>
      </c>
      <c r="E250" s="158" t="s">
        <v>739</v>
      </c>
      <c r="F250" s="158"/>
      <c r="G250" s="160" t="s">
        <v>728</v>
      </c>
      <c r="H250" s="42"/>
    </row>
    <row r="251" spans="1:8" ht="103.5" x14ac:dyDescent="0.25">
      <c r="A251" s="158">
        <v>54</v>
      </c>
      <c r="B251" s="191" t="s">
        <v>302</v>
      </c>
      <c r="C251" s="158" t="s">
        <v>303</v>
      </c>
      <c r="D251" s="158" t="s">
        <v>304</v>
      </c>
      <c r="E251" s="158"/>
      <c r="F251" s="158"/>
      <c r="G251" s="42"/>
      <c r="H251" s="42" t="s">
        <v>853</v>
      </c>
    </row>
    <row r="252" spans="1:8" ht="60" x14ac:dyDescent="0.25">
      <c r="A252" s="158">
        <v>54</v>
      </c>
      <c r="B252" s="178" t="s">
        <v>305</v>
      </c>
      <c r="C252" s="158" t="s">
        <v>62</v>
      </c>
      <c r="D252" s="158" t="s">
        <v>63</v>
      </c>
      <c r="E252" s="158" t="s">
        <v>699</v>
      </c>
      <c r="F252" s="158"/>
      <c r="G252" s="42"/>
      <c r="H252" s="42" t="s">
        <v>828</v>
      </c>
    </row>
    <row r="253" spans="1:8" ht="135" x14ac:dyDescent="0.25">
      <c r="A253" s="158">
        <v>54</v>
      </c>
      <c r="B253" s="178" t="s">
        <v>306</v>
      </c>
      <c r="C253" s="158" t="s">
        <v>36</v>
      </c>
      <c r="D253" s="158" t="s">
        <v>37</v>
      </c>
      <c r="E253" s="158" t="s">
        <v>131</v>
      </c>
      <c r="F253" s="158" t="s">
        <v>307</v>
      </c>
      <c r="G253" s="42"/>
      <c r="H253" s="42" t="s">
        <v>824</v>
      </c>
    </row>
    <row r="254" spans="1:8" ht="60" x14ac:dyDescent="0.25">
      <c r="A254" s="158">
        <v>54</v>
      </c>
      <c r="B254" s="178" t="s">
        <v>308</v>
      </c>
      <c r="C254" s="158" t="s">
        <v>62</v>
      </c>
      <c r="D254" s="158" t="s">
        <v>63</v>
      </c>
      <c r="E254" s="158" t="s">
        <v>699</v>
      </c>
      <c r="F254" s="158"/>
      <c r="G254" s="42"/>
      <c r="H254" s="42" t="s">
        <v>828</v>
      </c>
    </row>
    <row r="255" spans="1:8" ht="62.25" x14ac:dyDescent="0.25">
      <c r="A255" s="158">
        <v>54</v>
      </c>
      <c r="B255" s="178" t="s">
        <v>309</v>
      </c>
      <c r="C255" s="158" t="s">
        <v>62</v>
      </c>
      <c r="D255" s="158" t="s">
        <v>63</v>
      </c>
      <c r="E255" s="158" t="s">
        <v>699</v>
      </c>
      <c r="F255" s="158"/>
      <c r="G255" s="42"/>
      <c r="H255" s="42" t="s">
        <v>828</v>
      </c>
    </row>
    <row r="256" spans="1:8" ht="47.25" x14ac:dyDescent="0.25">
      <c r="A256" s="158">
        <v>54</v>
      </c>
      <c r="B256" s="178" t="s">
        <v>310</v>
      </c>
      <c r="C256" s="158" t="s">
        <v>47</v>
      </c>
      <c r="D256" s="158" t="s">
        <v>48</v>
      </c>
      <c r="E256" s="158" t="s">
        <v>49</v>
      </c>
      <c r="F256" s="158" t="s">
        <v>311</v>
      </c>
      <c r="G256" s="42"/>
      <c r="H256" s="42" t="s">
        <v>830</v>
      </c>
    </row>
    <row r="257" spans="1:8" ht="150" x14ac:dyDescent="0.25">
      <c r="A257" s="158">
        <v>54</v>
      </c>
      <c r="B257" s="178" t="s">
        <v>312</v>
      </c>
      <c r="C257" s="158" t="s">
        <v>22</v>
      </c>
      <c r="D257" s="158" t="s">
        <v>23</v>
      </c>
      <c r="E257" s="158" t="s">
        <v>3</v>
      </c>
      <c r="F257" s="158" t="s">
        <v>8</v>
      </c>
      <c r="G257" s="42"/>
      <c r="H257" s="42" t="s">
        <v>824</v>
      </c>
    </row>
    <row r="258" spans="1:8" ht="30" x14ac:dyDescent="0.25">
      <c r="A258" s="158">
        <v>54</v>
      </c>
      <c r="B258" s="178" t="s">
        <v>313</v>
      </c>
      <c r="C258" s="158" t="s">
        <v>25</v>
      </c>
      <c r="D258" s="158" t="s">
        <v>26</v>
      </c>
      <c r="E258" s="158" t="s">
        <v>4</v>
      </c>
      <c r="F258" s="158"/>
      <c r="G258" s="42"/>
      <c r="H258" s="42" t="s">
        <v>827</v>
      </c>
    </row>
    <row r="259" spans="1:8" ht="60" x14ac:dyDescent="0.25">
      <c r="A259" s="158">
        <v>54</v>
      </c>
      <c r="B259" s="182" t="s">
        <v>314</v>
      </c>
      <c r="C259" s="158" t="s">
        <v>25</v>
      </c>
      <c r="D259" s="158" t="s">
        <v>26</v>
      </c>
      <c r="E259" s="158" t="s">
        <v>11</v>
      </c>
      <c r="F259" s="158" t="s">
        <v>10</v>
      </c>
      <c r="G259" s="158" t="s">
        <v>720</v>
      </c>
      <c r="H259" s="158" t="s">
        <v>841</v>
      </c>
    </row>
    <row r="260" spans="1:8" ht="60" x14ac:dyDescent="0.25">
      <c r="A260" s="158">
        <v>54</v>
      </c>
      <c r="B260" s="178" t="s">
        <v>315</v>
      </c>
      <c r="C260" s="158" t="s">
        <v>25</v>
      </c>
      <c r="D260" s="158" t="s">
        <v>26</v>
      </c>
      <c r="E260" s="158" t="s">
        <v>212</v>
      </c>
      <c r="F260" s="158" t="s">
        <v>10</v>
      </c>
      <c r="G260" s="42"/>
      <c r="H260" s="42" t="s">
        <v>825</v>
      </c>
    </row>
    <row r="261" spans="1:8" ht="45" x14ac:dyDescent="0.25">
      <c r="A261" s="158">
        <v>54</v>
      </c>
      <c r="B261" s="178" t="s">
        <v>316</v>
      </c>
      <c r="C261" s="158" t="s">
        <v>25</v>
      </c>
      <c r="D261" s="158" t="s">
        <v>26</v>
      </c>
      <c r="E261" s="158" t="s">
        <v>27</v>
      </c>
      <c r="F261" s="158" t="s">
        <v>10</v>
      </c>
      <c r="G261" s="42"/>
      <c r="H261" s="42" t="s">
        <v>825</v>
      </c>
    </row>
    <row r="262" spans="1:8" ht="76.5" customHeight="1" x14ac:dyDescent="0.25">
      <c r="A262" s="158">
        <v>54</v>
      </c>
      <c r="B262" s="186" t="s">
        <v>317</v>
      </c>
      <c r="C262" s="180" t="s">
        <v>22</v>
      </c>
      <c r="D262" s="180" t="s">
        <v>23</v>
      </c>
      <c r="E262" s="180" t="s">
        <v>13</v>
      </c>
      <c r="F262" s="158" t="s">
        <v>8</v>
      </c>
      <c r="G262" s="42"/>
      <c r="H262" s="42" t="s">
        <v>824</v>
      </c>
    </row>
    <row r="263" spans="1:8" x14ac:dyDescent="0.25">
      <c r="A263" s="158">
        <v>54</v>
      </c>
      <c r="B263" s="186"/>
      <c r="C263" s="180"/>
      <c r="D263" s="180"/>
      <c r="E263" s="180"/>
      <c r="F263" s="158" t="s">
        <v>6</v>
      </c>
      <c r="G263" s="42"/>
      <c r="H263" s="42"/>
    </row>
    <row r="264" spans="1:8" ht="66.75" x14ac:dyDescent="0.25">
      <c r="A264" s="158">
        <v>54</v>
      </c>
      <c r="B264" s="191" t="s">
        <v>318</v>
      </c>
      <c r="C264" s="158" t="s">
        <v>22</v>
      </c>
      <c r="D264" s="158" t="s">
        <v>319</v>
      </c>
      <c r="E264" s="158"/>
      <c r="F264" s="158"/>
      <c r="G264" s="42"/>
      <c r="H264" s="42" t="s">
        <v>866</v>
      </c>
    </row>
    <row r="265" spans="1:8" ht="60" x14ac:dyDescent="0.25">
      <c r="A265" s="158">
        <v>54</v>
      </c>
      <c r="B265" s="178" t="s">
        <v>320</v>
      </c>
      <c r="C265" s="158" t="s">
        <v>22</v>
      </c>
      <c r="D265" s="158" t="s">
        <v>33</v>
      </c>
      <c r="E265" s="158" t="s">
        <v>699</v>
      </c>
      <c r="F265" s="158"/>
      <c r="G265" s="158" t="s">
        <v>684</v>
      </c>
      <c r="H265" s="42" t="s">
        <v>842</v>
      </c>
    </row>
    <row r="266" spans="1:8" ht="45" x14ac:dyDescent="0.25">
      <c r="A266" s="158">
        <v>54</v>
      </c>
      <c r="B266" s="178" t="s">
        <v>321</v>
      </c>
      <c r="C266" s="158" t="s">
        <v>25</v>
      </c>
      <c r="D266" s="158" t="s">
        <v>26</v>
      </c>
      <c r="E266" s="158" t="s">
        <v>11</v>
      </c>
      <c r="F266" s="158" t="s">
        <v>5</v>
      </c>
      <c r="G266" s="42"/>
      <c r="H266" s="42" t="s">
        <v>826</v>
      </c>
    </row>
    <row r="267" spans="1:8" ht="75" x14ac:dyDescent="0.25">
      <c r="A267" s="158">
        <v>54</v>
      </c>
      <c r="B267" s="178" t="s">
        <v>322</v>
      </c>
      <c r="C267" s="158" t="s">
        <v>25</v>
      </c>
      <c r="D267" s="158" t="s">
        <v>26</v>
      </c>
      <c r="E267" s="158" t="s">
        <v>27</v>
      </c>
      <c r="F267" s="158" t="s">
        <v>5</v>
      </c>
      <c r="G267" s="42"/>
      <c r="H267" s="42" t="s">
        <v>825</v>
      </c>
    </row>
    <row r="268" spans="1:8" ht="45" x14ac:dyDescent="0.25">
      <c r="A268" s="158">
        <v>54</v>
      </c>
      <c r="B268" s="178" t="s">
        <v>323</v>
      </c>
      <c r="C268" s="158" t="s">
        <v>25</v>
      </c>
      <c r="D268" s="158" t="s">
        <v>26</v>
      </c>
      <c r="E268" s="158" t="s">
        <v>212</v>
      </c>
      <c r="F268" s="158" t="s">
        <v>5</v>
      </c>
      <c r="G268" s="158" t="s">
        <v>720</v>
      </c>
      <c r="H268" s="158" t="s">
        <v>841</v>
      </c>
    </row>
    <row r="269" spans="1:8" ht="30" x14ac:dyDescent="0.25">
      <c r="A269" s="158">
        <v>54</v>
      </c>
      <c r="B269" s="178" t="s">
        <v>324</v>
      </c>
      <c r="C269" s="158" t="s">
        <v>25</v>
      </c>
      <c r="D269" s="158" t="s">
        <v>26</v>
      </c>
      <c r="E269" s="158" t="s">
        <v>27</v>
      </c>
      <c r="F269" s="158" t="s">
        <v>10</v>
      </c>
      <c r="G269" s="42"/>
      <c r="H269" s="42" t="s">
        <v>825</v>
      </c>
    </row>
    <row r="270" spans="1:8" ht="60" x14ac:dyDescent="0.25">
      <c r="A270" s="158">
        <v>54</v>
      </c>
      <c r="B270" s="178" t="s">
        <v>325</v>
      </c>
      <c r="C270" s="158" t="s">
        <v>62</v>
      </c>
      <c r="D270" s="158" t="s">
        <v>63</v>
      </c>
      <c r="E270" s="158" t="s">
        <v>699</v>
      </c>
      <c r="F270" s="158"/>
      <c r="G270" s="42"/>
      <c r="H270" s="42" t="s">
        <v>828</v>
      </c>
    </row>
    <row r="271" spans="1:8" ht="45" x14ac:dyDescent="0.25">
      <c r="A271" s="158">
        <v>54</v>
      </c>
      <c r="B271" s="178" t="s">
        <v>326</v>
      </c>
      <c r="C271" s="158" t="s">
        <v>103</v>
      </c>
      <c r="D271" s="158" t="s">
        <v>42</v>
      </c>
      <c r="E271" s="158"/>
      <c r="F271" s="158" t="s">
        <v>104</v>
      </c>
      <c r="G271" s="160" t="s">
        <v>721</v>
      </c>
      <c r="H271" s="42" t="s">
        <v>854</v>
      </c>
    </row>
    <row r="272" spans="1:8" ht="30" x14ac:dyDescent="0.25">
      <c r="A272" s="158">
        <v>55</v>
      </c>
      <c r="B272" s="158" t="s">
        <v>327</v>
      </c>
      <c r="C272" s="158" t="s">
        <v>25</v>
      </c>
      <c r="D272" s="158" t="s">
        <v>26</v>
      </c>
      <c r="E272" s="158" t="s">
        <v>29</v>
      </c>
      <c r="F272" s="158" t="s">
        <v>2</v>
      </c>
      <c r="G272" s="42"/>
      <c r="H272" s="42" t="s">
        <v>826</v>
      </c>
    </row>
    <row r="273" spans="1:8" ht="45" x14ac:dyDescent="0.25">
      <c r="A273" s="158">
        <v>55</v>
      </c>
      <c r="B273" s="158" t="s">
        <v>328</v>
      </c>
      <c r="C273" s="158" t="s">
        <v>25</v>
      </c>
      <c r="D273" s="158" t="s">
        <v>26</v>
      </c>
      <c r="E273" s="158" t="s">
        <v>27</v>
      </c>
      <c r="F273" s="158" t="s">
        <v>10</v>
      </c>
      <c r="G273" s="42"/>
      <c r="H273" s="42" t="s">
        <v>827</v>
      </c>
    </row>
    <row r="274" spans="1:8" ht="45" x14ac:dyDescent="0.25">
      <c r="A274" s="158">
        <v>55</v>
      </c>
      <c r="B274" s="158" t="s">
        <v>329</v>
      </c>
      <c r="C274" s="158" t="s">
        <v>25</v>
      </c>
      <c r="D274" s="158" t="s">
        <v>26</v>
      </c>
      <c r="E274" s="158" t="s">
        <v>4</v>
      </c>
      <c r="F274" s="158"/>
      <c r="G274" s="160" t="s">
        <v>722</v>
      </c>
      <c r="H274" s="42" t="s">
        <v>833</v>
      </c>
    </row>
    <row r="275" spans="1:8" ht="60" x14ac:dyDescent="0.25">
      <c r="A275" s="158">
        <v>55</v>
      </c>
      <c r="B275" s="158" t="s">
        <v>330</v>
      </c>
      <c r="C275" s="158" t="s">
        <v>62</v>
      </c>
      <c r="D275" s="158" t="s">
        <v>63</v>
      </c>
      <c r="E275" s="158" t="s">
        <v>699</v>
      </c>
      <c r="F275" s="158"/>
      <c r="G275" s="42"/>
      <c r="H275" s="42" t="s">
        <v>828</v>
      </c>
    </row>
    <row r="276" spans="1:8" ht="75" x14ac:dyDescent="0.25">
      <c r="A276" s="158">
        <v>55</v>
      </c>
      <c r="B276" s="158" t="s">
        <v>704</v>
      </c>
      <c r="C276" s="158" t="s">
        <v>22</v>
      </c>
      <c r="D276" s="158" t="s">
        <v>706</v>
      </c>
      <c r="E276" s="158"/>
      <c r="F276" s="158" t="s">
        <v>7</v>
      </c>
      <c r="G276" s="158" t="s">
        <v>713</v>
      </c>
      <c r="H276" s="42" t="s">
        <v>829</v>
      </c>
    </row>
    <row r="277" spans="1:8" ht="60" x14ac:dyDescent="0.25">
      <c r="A277" s="158">
        <v>55</v>
      </c>
      <c r="B277" s="158" t="s">
        <v>705</v>
      </c>
      <c r="C277" s="158" t="s">
        <v>22</v>
      </c>
      <c r="D277" s="158" t="s">
        <v>33</v>
      </c>
      <c r="E277" s="158" t="s">
        <v>698</v>
      </c>
      <c r="F277" s="158"/>
      <c r="G277" s="158"/>
      <c r="H277" s="160" t="s">
        <v>828</v>
      </c>
    </row>
    <row r="278" spans="1:8" ht="30" x14ac:dyDescent="0.25">
      <c r="A278" s="158">
        <v>55</v>
      </c>
      <c r="B278" s="158" t="s">
        <v>331</v>
      </c>
      <c r="C278" s="158" t="s">
        <v>22</v>
      </c>
      <c r="D278" s="158" t="s">
        <v>23</v>
      </c>
      <c r="E278" s="158" t="s">
        <v>3</v>
      </c>
      <c r="F278" s="158" t="s">
        <v>7</v>
      </c>
      <c r="G278" s="42"/>
      <c r="H278" s="42" t="s">
        <v>824</v>
      </c>
    </row>
    <row r="279" spans="1:8" ht="30" x14ac:dyDescent="0.25">
      <c r="A279" s="158">
        <v>55</v>
      </c>
      <c r="B279" s="158" t="s">
        <v>332</v>
      </c>
      <c r="C279" s="158"/>
      <c r="D279" s="158" t="s">
        <v>68</v>
      </c>
      <c r="E279" s="158" t="s">
        <v>739</v>
      </c>
      <c r="F279" s="158"/>
      <c r="G279" s="160" t="s">
        <v>729</v>
      </c>
      <c r="H279" s="42"/>
    </row>
    <row r="280" spans="1:8" ht="45" x14ac:dyDescent="0.25">
      <c r="A280" s="158">
        <v>55</v>
      </c>
      <c r="B280" s="158" t="s">
        <v>333</v>
      </c>
      <c r="C280" s="158" t="s">
        <v>146</v>
      </c>
      <c r="D280" s="158" t="s">
        <v>58</v>
      </c>
      <c r="E280" s="158" t="s">
        <v>59</v>
      </c>
      <c r="F280" s="158" t="s">
        <v>60</v>
      </c>
      <c r="G280" s="42"/>
      <c r="H280" s="42" t="s">
        <v>835</v>
      </c>
    </row>
    <row r="281" spans="1:8" ht="45" x14ac:dyDescent="0.25">
      <c r="A281" s="158">
        <v>55</v>
      </c>
      <c r="B281" s="158" t="s">
        <v>334</v>
      </c>
      <c r="C281" s="158" t="s">
        <v>25</v>
      </c>
      <c r="D281" s="158" t="s">
        <v>26</v>
      </c>
      <c r="E281" s="158" t="s">
        <v>27</v>
      </c>
      <c r="F281" s="158" t="s">
        <v>5</v>
      </c>
      <c r="G281" s="42"/>
      <c r="H281" s="42" t="s">
        <v>843</v>
      </c>
    </row>
    <row r="282" spans="1:8" ht="45" x14ac:dyDescent="0.25">
      <c r="A282" s="158">
        <v>55</v>
      </c>
      <c r="B282" s="158" t="s">
        <v>734</v>
      </c>
      <c r="C282" s="158" t="s">
        <v>36</v>
      </c>
      <c r="D282" s="158" t="s">
        <v>37</v>
      </c>
      <c r="E282" s="158" t="s">
        <v>131</v>
      </c>
      <c r="F282" s="158" t="s">
        <v>175</v>
      </c>
      <c r="G282" s="158" t="s">
        <v>715</v>
      </c>
      <c r="H282" s="42" t="s">
        <v>829</v>
      </c>
    </row>
    <row r="283" spans="1:8" ht="75" x14ac:dyDescent="0.25">
      <c r="A283" s="158">
        <v>55</v>
      </c>
      <c r="B283" s="158" t="s">
        <v>735</v>
      </c>
      <c r="C283" s="158" t="s">
        <v>57</v>
      </c>
      <c r="D283" s="158" t="s">
        <v>58</v>
      </c>
      <c r="E283" s="158" t="s">
        <v>143</v>
      </c>
      <c r="F283" s="158" t="s">
        <v>71</v>
      </c>
      <c r="G283" s="42"/>
      <c r="H283" s="42" t="s">
        <v>832</v>
      </c>
    </row>
    <row r="284" spans="1:8" ht="45" x14ac:dyDescent="0.25">
      <c r="A284" s="158">
        <v>55</v>
      </c>
      <c r="B284" s="158" t="s">
        <v>335</v>
      </c>
      <c r="C284" s="158" t="s">
        <v>57</v>
      </c>
      <c r="D284" s="158" t="s">
        <v>58</v>
      </c>
      <c r="E284" s="158" t="s">
        <v>336</v>
      </c>
      <c r="F284" s="158" t="s">
        <v>60</v>
      </c>
      <c r="G284" s="42"/>
      <c r="H284" s="42" t="s">
        <v>832</v>
      </c>
    </row>
    <row r="285" spans="1:8" ht="45" x14ac:dyDescent="0.25">
      <c r="A285" s="158">
        <v>55</v>
      </c>
      <c r="B285" s="158" t="s">
        <v>337</v>
      </c>
      <c r="C285" s="158" t="s">
        <v>22</v>
      </c>
      <c r="D285" s="158" t="s">
        <v>23</v>
      </c>
      <c r="E285" s="158" t="s">
        <v>695</v>
      </c>
      <c r="F285" s="158" t="s">
        <v>6</v>
      </c>
      <c r="G285" s="158" t="s">
        <v>856</v>
      </c>
      <c r="H285" s="42" t="s">
        <v>855</v>
      </c>
    </row>
    <row r="286" spans="1:8" ht="333" x14ac:dyDescent="0.25">
      <c r="A286" s="158">
        <v>55</v>
      </c>
      <c r="B286" s="158" t="s">
        <v>338</v>
      </c>
      <c r="C286" s="158" t="s">
        <v>51</v>
      </c>
      <c r="D286" s="158" t="s">
        <v>23</v>
      </c>
      <c r="E286" s="158" t="s">
        <v>3</v>
      </c>
      <c r="F286" s="158" t="s">
        <v>6</v>
      </c>
      <c r="G286" s="42"/>
      <c r="H286" s="42" t="s">
        <v>824</v>
      </c>
    </row>
    <row r="287" spans="1:8" ht="30" x14ac:dyDescent="0.25">
      <c r="A287" s="158">
        <v>55</v>
      </c>
      <c r="B287" s="158" t="s">
        <v>90</v>
      </c>
      <c r="C287" s="158"/>
      <c r="D287" s="158" t="s">
        <v>68</v>
      </c>
      <c r="E287" s="158" t="s">
        <v>739</v>
      </c>
      <c r="F287" s="158"/>
      <c r="G287" s="160" t="s">
        <v>688</v>
      </c>
      <c r="H287" s="42"/>
    </row>
    <row r="288" spans="1:8" ht="31.5" customHeight="1" x14ac:dyDescent="0.25">
      <c r="A288" s="158">
        <v>55</v>
      </c>
      <c r="B288" s="158" t="s">
        <v>339</v>
      </c>
      <c r="C288" s="158" t="s">
        <v>47</v>
      </c>
      <c r="D288" s="158" t="s">
        <v>48</v>
      </c>
      <c r="E288" s="158" t="s">
        <v>49</v>
      </c>
      <c r="F288" s="158"/>
      <c r="G288" s="42"/>
      <c r="H288" s="42" t="s">
        <v>830</v>
      </c>
    </row>
    <row r="289" spans="1:8" ht="33" x14ac:dyDescent="0.25">
      <c r="A289" s="158">
        <v>55</v>
      </c>
      <c r="B289" s="158" t="s">
        <v>340</v>
      </c>
      <c r="C289" s="158" t="s">
        <v>22</v>
      </c>
      <c r="D289" s="158" t="s">
        <v>23</v>
      </c>
      <c r="E289" s="158" t="s">
        <v>3</v>
      </c>
      <c r="F289" s="158" t="s">
        <v>8</v>
      </c>
      <c r="G289" s="42"/>
      <c r="H289" s="42" t="s">
        <v>824</v>
      </c>
    </row>
    <row r="290" spans="1:8" ht="60" x14ac:dyDescent="0.25">
      <c r="A290" s="158">
        <v>55</v>
      </c>
      <c r="B290" s="158" t="s">
        <v>341</v>
      </c>
      <c r="C290" s="158" t="s">
        <v>62</v>
      </c>
      <c r="D290" s="158" t="s">
        <v>63</v>
      </c>
      <c r="E290" s="158" t="s">
        <v>699</v>
      </c>
      <c r="F290" s="158"/>
      <c r="G290" s="42"/>
      <c r="H290" s="42" t="s">
        <v>828</v>
      </c>
    </row>
    <row r="291" spans="1:8" ht="30" x14ac:dyDescent="0.25">
      <c r="A291" s="158">
        <v>55</v>
      </c>
      <c r="B291" s="158" t="s">
        <v>342</v>
      </c>
      <c r="C291" s="158" t="s">
        <v>25</v>
      </c>
      <c r="D291" s="158" t="s">
        <v>26</v>
      </c>
      <c r="E291" s="158" t="s">
        <v>27</v>
      </c>
      <c r="F291" s="158" t="s">
        <v>10</v>
      </c>
      <c r="G291" s="42"/>
      <c r="H291" s="42" t="s">
        <v>825</v>
      </c>
    </row>
    <row r="292" spans="1:8" ht="45" x14ac:dyDescent="0.25">
      <c r="A292" s="158">
        <v>55</v>
      </c>
      <c r="B292" s="158" t="s">
        <v>343</v>
      </c>
      <c r="C292" s="158" t="s">
        <v>22</v>
      </c>
      <c r="D292" s="158" t="s">
        <v>23</v>
      </c>
      <c r="E292" s="158" t="s">
        <v>13</v>
      </c>
      <c r="F292" s="158" t="s">
        <v>7</v>
      </c>
      <c r="G292" s="42"/>
      <c r="H292" s="42" t="s">
        <v>824</v>
      </c>
    </row>
    <row r="293" spans="1:8" ht="30" x14ac:dyDescent="0.25">
      <c r="A293" s="158">
        <v>55</v>
      </c>
      <c r="B293" s="178" t="s">
        <v>344</v>
      </c>
      <c r="C293" s="158" t="s">
        <v>25</v>
      </c>
      <c r="D293" s="158" t="s">
        <v>26</v>
      </c>
      <c r="E293" s="158" t="s">
        <v>1</v>
      </c>
      <c r="F293" s="158" t="s">
        <v>5</v>
      </c>
      <c r="G293" s="42"/>
      <c r="H293" s="42" t="s">
        <v>825</v>
      </c>
    </row>
    <row r="294" spans="1:8" ht="60" x14ac:dyDescent="0.25">
      <c r="A294" s="158">
        <v>55</v>
      </c>
      <c r="B294" s="178" t="s">
        <v>345</v>
      </c>
      <c r="C294" s="158" t="s">
        <v>22</v>
      </c>
      <c r="D294" s="158" t="s">
        <v>33</v>
      </c>
      <c r="E294" s="158" t="s">
        <v>699</v>
      </c>
      <c r="F294" s="158"/>
      <c r="G294" s="158" t="s">
        <v>684</v>
      </c>
      <c r="H294" s="42" t="s">
        <v>842</v>
      </c>
    </row>
    <row r="295" spans="1:8" ht="30" x14ac:dyDescent="0.25">
      <c r="A295" s="158">
        <v>55</v>
      </c>
      <c r="B295" s="178" t="s">
        <v>736</v>
      </c>
      <c r="C295" s="158" t="s">
        <v>25</v>
      </c>
      <c r="D295" s="158" t="s">
        <v>26</v>
      </c>
      <c r="E295" s="158" t="s">
        <v>4</v>
      </c>
      <c r="F295" s="158"/>
      <c r="G295" s="42"/>
      <c r="H295" s="42" t="s">
        <v>827</v>
      </c>
    </row>
    <row r="296" spans="1:8" ht="30" x14ac:dyDescent="0.25">
      <c r="A296" s="158">
        <v>55</v>
      </c>
      <c r="B296" s="178" t="s">
        <v>346</v>
      </c>
      <c r="C296" s="158" t="s">
        <v>25</v>
      </c>
      <c r="D296" s="158" t="s">
        <v>26</v>
      </c>
      <c r="E296" s="158" t="s">
        <v>1</v>
      </c>
      <c r="F296" s="158" t="s">
        <v>5</v>
      </c>
      <c r="G296" s="42"/>
      <c r="H296" s="42" t="s">
        <v>825</v>
      </c>
    </row>
    <row r="297" spans="1:8" ht="30" x14ac:dyDescent="0.25">
      <c r="A297" s="158">
        <v>56</v>
      </c>
      <c r="B297" s="178" t="s">
        <v>347</v>
      </c>
      <c r="C297" s="158" t="s">
        <v>348</v>
      </c>
      <c r="D297" s="158" t="s">
        <v>37</v>
      </c>
      <c r="E297" s="158" t="s">
        <v>131</v>
      </c>
      <c r="F297" s="158" t="s">
        <v>175</v>
      </c>
      <c r="G297" s="42"/>
      <c r="H297" s="42" t="s">
        <v>824</v>
      </c>
    </row>
    <row r="298" spans="1:8" ht="30" x14ac:dyDescent="0.25">
      <c r="A298" s="158">
        <v>56</v>
      </c>
      <c r="B298" s="178" t="s">
        <v>349</v>
      </c>
      <c r="C298" s="158"/>
      <c r="D298" s="158" t="s">
        <v>68</v>
      </c>
      <c r="E298" s="158" t="s">
        <v>739</v>
      </c>
      <c r="F298" s="158"/>
      <c r="G298" s="160" t="s">
        <v>688</v>
      </c>
      <c r="H298" s="42"/>
    </row>
    <row r="299" spans="1:8" ht="30" x14ac:dyDescent="0.25">
      <c r="A299" s="158">
        <v>56</v>
      </c>
      <c r="B299" s="178" t="s">
        <v>350</v>
      </c>
      <c r="C299" s="158" t="s">
        <v>36</v>
      </c>
      <c r="D299" s="158" t="s">
        <v>37</v>
      </c>
      <c r="E299" s="158" t="s">
        <v>131</v>
      </c>
      <c r="F299" s="158" t="s">
        <v>39</v>
      </c>
      <c r="G299" s="42"/>
      <c r="H299" s="42" t="s">
        <v>840</v>
      </c>
    </row>
    <row r="300" spans="1:8" ht="45" x14ac:dyDescent="0.25">
      <c r="A300" s="158">
        <v>56</v>
      </c>
      <c r="B300" s="178" t="s">
        <v>351</v>
      </c>
      <c r="C300" s="158" t="s">
        <v>22</v>
      </c>
      <c r="D300" s="158" t="s">
        <v>23</v>
      </c>
      <c r="E300" s="158" t="s">
        <v>3</v>
      </c>
      <c r="F300" s="158" t="s">
        <v>6</v>
      </c>
      <c r="G300" s="42"/>
      <c r="H300" s="42" t="s">
        <v>824</v>
      </c>
    </row>
    <row r="301" spans="1:8" ht="30" x14ac:dyDescent="0.25">
      <c r="A301" s="158">
        <v>56</v>
      </c>
      <c r="B301" s="178" t="s">
        <v>352</v>
      </c>
      <c r="C301" s="158" t="s">
        <v>25</v>
      </c>
      <c r="D301" s="158" t="s">
        <v>26</v>
      </c>
      <c r="E301" s="158" t="s">
        <v>27</v>
      </c>
      <c r="F301" s="158" t="s">
        <v>5</v>
      </c>
      <c r="G301" s="42"/>
      <c r="H301" s="42" t="s">
        <v>825</v>
      </c>
    </row>
    <row r="302" spans="1:8" ht="45" x14ac:dyDescent="0.25">
      <c r="A302" s="158">
        <v>56</v>
      </c>
      <c r="B302" s="178" t="s">
        <v>353</v>
      </c>
      <c r="C302" s="158" t="s">
        <v>22</v>
      </c>
      <c r="D302" s="158" t="s">
        <v>23</v>
      </c>
      <c r="E302" s="158" t="s">
        <v>3</v>
      </c>
      <c r="F302" s="158" t="s">
        <v>8</v>
      </c>
      <c r="G302" s="42"/>
      <c r="H302" s="42" t="s">
        <v>824</v>
      </c>
    </row>
    <row r="303" spans="1:8" ht="60" x14ac:dyDescent="0.25">
      <c r="A303" s="158">
        <v>56</v>
      </c>
      <c r="B303" s="178" t="s">
        <v>354</v>
      </c>
      <c r="C303" s="158" t="s">
        <v>22</v>
      </c>
      <c r="D303" s="158" t="s">
        <v>33</v>
      </c>
      <c r="E303" s="158" t="s">
        <v>699</v>
      </c>
      <c r="F303" s="158"/>
      <c r="G303" s="42"/>
      <c r="H303" s="42" t="s">
        <v>828</v>
      </c>
    </row>
    <row r="304" spans="1:8" ht="45" x14ac:dyDescent="0.25">
      <c r="A304" s="158">
        <v>56</v>
      </c>
      <c r="B304" s="178" t="s">
        <v>707</v>
      </c>
      <c r="C304" s="158" t="s">
        <v>22</v>
      </c>
      <c r="D304" s="158" t="s">
        <v>706</v>
      </c>
      <c r="E304" s="158"/>
      <c r="F304" s="158" t="s">
        <v>8</v>
      </c>
      <c r="G304" s="158" t="s">
        <v>715</v>
      </c>
      <c r="H304" s="158" t="s">
        <v>829</v>
      </c>
    </row>
    <row r="305" spans="1:8" ht="60" x14ac:dyDescent="0.25">
      <c r="A305" s="158">
        <v>56</v>
      </c>
      <c r="B305" s="178" t="s">
        <v>708</v>
      </c>
      <c r="C305" s="158" t="s">
        <v>22</v>
      </c>
      <c r="D305" s="158" t="s">
        <v>33</v>
      </c>
      <c r="E305" s="158" t="s">
        <v>699</v>
      </c>
      <c r="F305" s="158"/>
      <c r="G305" s="158"/>
      <c r="H305" s="42" t="s">
        <v>828</v>
      </c>
    </row>
    <row r="306" spans="1:8" ht="45" x14ac:dyDescent="0.25">
      <c r="A306" s="158">
        <v>56</v>
      </c>
      <c r="B306" s="178" t="s">
        <v>355</v>
      </c>
      <c r="C306" s="158" t="s">
        <v>22</v>
      </c>
      <c r="D306" s="158" t="s">
        <v>23</v>
      </c>
      <c r="E306" s="158" t="s">
        <v>3</v>
      </c>
      <c r="F306" s="158" t="s">
        <v>6</v>
      </c>
      <c r="G306" s="42"/>
      <c r="H306" s="42" t="s">
        <v>824</v>
      </c>
    </row>
    <row r="307" spans="1:8" ht="45" x14ac:dyDescent="0.25">
      <c r="A307" s="158">
        <v>56</v>
      </c>
      <c r="B307" s="178" t="s">
        <v>356</v>
      </c>
      <c r="C307" s="158" t="s">
        <v>22</v>
      </c>
      <c r="D307" s="158" t="s">
        <v>23</v>
      </c>
      <c r="E307" s="158" t="s">
        <v>3</v>
      </c>
      <c r="F307" s="158" t="s">
        <v>6</v>
      </c>
      <c r="G307" s="42"/>
      <c r="H307" s="42" t="s">
        <v>824</v>
      </c>
    </row>
    <row r="308" spans="1:8" ht="75" x14ac:dyDescent="0.25">
      <c r="A308" s="158">
        <v>56</v>
      </c>
      <c r="B308" s="178" t="s">
        <v>357</v>
      </c>
      <c r="C308" s="158" t="s">
        <v>22</v>
      </c>
      <c r="D308" s="158" t="s">
        <v>23</v>
      </c>
      <c r="E308" s="158" t="s">
        <v>3</v>
      </c>
      <c r="F308" s="158" t="s">
        <v>8</v>
      </c>
      <c r="G308" s="42"/>
      <c r="H308" s="42" t="s">
        <v>824</v>
      </c>
    </row>
    <row r="309" spans="1:8" ht="60" x14ac:dyDescent="0.25">
      <c r="A309" s="158">
        <v>56</v>
      </c>
      <c r="B309" s="178" t="s">
        <v>358</v>
      </c>
      <c r="C309" s="158" t="s">
        <v>193</v>
      </c>
      <c r="D309" s="158" t="s">
        <v>63</v>
      </c>
      <c r="E309" s="158" t="s">
        <v>699</v>
      </c>
      <c r="F309" s="158"/>
      <c r="G309" s="42"/>
      <c r="H309" s="42" t="s">
        <v>828</v>
      </c>
    </row>
    <row r="310" spans="1:8" ht="30" x14ac:dyDescent="0.25">
      <c r="A310" s="158">
        <v>56</v>
      </c>
      <c r="B310" s="178" t="s">
        <v>359</v>
      </c>
      <c r="C310" s="158"/>
      <c r="D310" s="158" t="s">
        <v>68</v>
      </c>
      <c r="E310" s="158" t="s">
        <v>739</v>
      </c>
      <c r="F310" s="158"/>
      <c r="G310" s="160" t="s">
        <v>688</v>
      </c>
      <c r="H310" s="42"/>
    </row>
    <row r="311" spans="1:8" ht="45" x14ac:dyDescent="0.25">
      <c r="A311" s="158">
        <v>56</v>
      </c>
      <c r="B311" s="178" t="s">
        <v>679</v>
      </c>
      <c r="C311" s="158" t="s">
        <v>22</v>
      </c>
      <c r="D311" s="158" t="s">
        <v>23</v>
      </c>
      <c r="E311" s="158" t="s">
        <v>3</v>
      </c>
      <c r="F311" s="158" t="s">
        <v>7</v>
      </c>
      <c r="G311" s="42"/>
      <c r="H311" s="42" t="s">
        <v>824</v>
      </c>
    </row>
    <row r="312" spans="1:8" ht="165" x14ac:dyDescent="0.25">
      <c r="A312" s="158">
        <v>56</v>
      </c>
      <c r="B312" s="178" t="s">
        <v>360</v>
      </c>
      <c r="C312" s="158" t="s">
        <v>25</v>
      </c>
      <c r="D312" s="158" t="s">
        <v>26</v>
      </c>
      <c r="E312" s="158" t="s">
        <v>27</v>
      </c>
      <c r="F312" s="158" t="s">
        <v>5</v>
      </c>
      <c r="G312" s="42"/>
      <c r="H312" s="42" t="s">
        <v>825</v>
      </c>
    </row>
    <row r="313" spans="1:8" ht="60" x14ac:dyDescent="0.25">
      <c r="A313" s="158">
        <v>56</v>
      </c>
      <c r="B313" s="178" t="s">
        <v>361</v>
      </c>
      <c r="C313" s="158" t="s">
        <v>62</v>
      </c>
      <c r="D313" s="158" t="s">
        <v>63</v>
      </c>
      <c r="E313" s="158" t="s">
        <v>699</v>
      </c>
      <c r="F313" s="158"/>
      <c r="G313" s="42"/>
      <c r="H313" s="42" t="s">
        <v>824</v>
      </c>
    </row>
    <row r="314" spans="1:8" ht="45" x14ac:dyDescent="0.25">
      <c r="A314" s="158">
        <v>56</v>
      </c>
      <c r="B314" s="178" t="s">
        <v>362</v>
      </c>
      <c r="C314" s="158" t="s">
        <v>57</v>
      </c>
      <c r="D314" s="158" t="s">
        <v>58</v>
      </c>
      <c r="E314" s="158" t="s">
        <v>59</v>
      </c>
      <c r="F314" s="158" t="s">
        <v>71</v>
      </c>
      <c r="G314" s="42"/>
      <c r="H314" s="42" t="s">
        <v>835</v>
      </c>
    </row>
    <row r="315" spans="1:8" ht="60" x14ac:dyDescent="0.25">
      <c r="A315" s="158">
        <v>56</v>
      </c>
      <c r="B315" s="178" t="s">
        <v>363</v>
      </c>
      <c r="C315" s="158" t="s">
        <v>82</v>
      </c>
      <c r="D315" s="158" t="s">
        <v>26</v>
      </c>
      <c r="E315" s="158" t="s">
        <v>27</v>
      </c>
      <c r="F315" s="158" t="s">
        <v>5</v>
      </c>
      <c r="G315" s="42"/>
      <c r="H315" s="42" t="s">
        <v>827</v>
      </c>
    </row>
    <row r="316" spans="1:8" ht="30" x14ac:dyDescent="0.25">
      <c r="A316" s="158">
        <v>56</v>
      </c>
      <c r="B316" s="178" t="s">
        <v>221</v>
      </c>
      <c r="C316" s="158"/>
      <c r="D316" s="158" t="s">
        <v>68</v>
      </c>
      <c r="E316" s="158" t="s">
        <v>739</v>
      </c>
      <c r="F316" s="158"/>
      <c r="G316" s="160" t="s">
        <v>689</v>
      </c>
      <c r="H316" s="42"/>
    </row>
    <row r="317" spans="1:8" ht="45" x14ac:dyDescent="0.25">
      <c r="A317" s="158">
        <v>56</v>
      </c>
      <c r="B317" s="178" t="s">
        <v>364</v>
      </c>
      <c r="C317" s="158" t="s">
        <v>25</v>
      </c>
      <c r="D317" s="158" t="s">
        <v>26</v>
      </c>
      <c r="E317" s="158" t="s">
        <v>9</v>
      </c>
      <c r="F317" s="158" t="s">
        <v>5</v>
      </c>
      <c r="G317" s="42"/>
      <c r="H317" s="42" t="s">
        <v>826</v>
      </c>
    </row>
    <row r="318" spans="1:8" ht="45" x14ac:dyDescent="0.25">
      <c r="A318" s="158">
        <v>56</v>
      </c>
      <c r="B318" s="178" t="s">
        <v>365</v>
      </c>
      <c r="C318" s="158" t="s">
        <v>25</v>
      </c>
      <c r="D318" s="158" t="s">
        <v>26</v>
      </c>
      <c r="E318" s="158" t="s">
        <v>11</v>
      </c>
      <c r="F318" s="158" t="s">
        <v>5</v>
      </c>
      <c r="G318" s="42"/>
      <c r="H318" s="42" t="s">
        <v>825</v>
      </c>
    </row>
    <row r="319" spans="1:8" ht="60" x14ac:dyDescent="0.25">
      <c r="A319" s="158">
        <v>56</v>
      </c>
      <c r="B319" s="182" t="s">
        <v>366</v>
      </c>
      <c r="C319" s="158" t="s">
        <v>62</v>
      </c>
      <c r="D319" s="158" t="s">
        <v>63</v>
      </c>
      <c r="E319" s="158" t="s">
        <v>699</v>
      </c>
      <c r="F319" s="158"/>
      <c r="G319" s="42"/>
      <c r="H319" s="42" t="s">
        <v>828</v>
      </c>
    </row>
    <row r="320" spans="1:8" ht="30" x14ac:dyDescent="0.25">
      <c r="A320" s="158">
        <v>56</v>
      </c>
      <c r="B320" s="182" t="s">
        <v>367</v>
      </c>
      <c r="C320" s="158" t="s">
        <v>103</v>
      </c>
      <c r="D320" s="158" t="s">
        <v>42</v>
      </c>
      <c r="E320" s="158"/>
      <c r="F320" s="158" t="s">
        <v>178</v>
      </c>
      <c r="G320" s="42"/>
      <c r="H320" s="42" t="s">
        <v>42</v>
      </c>
    </row>
    <row r="321" spans="1:8" ht="45" x14ac:dyDescent="0.25">
      <c r="A321" s="158">
        <v>56</v>
      </c>
      <c r="B321" s="182" t="s">
        <v>368</v>
      </c>
      <c r="C321" s="158" t="s">
        <v>22</v>
      </c>
      <c r="D321" s="158" t="s">
        <v>23</v>
      </c>
      <c r="E321" s="158" t="s">
        <v>3</v>
      </c>
      <c r="F321" s="158" t="s">
        <v>6</v>
      </c>
      <c r="G321" s="42"/>
      <c r="H321" s="42" t="s">
        <v>824</v>
      </c>
    </row>
    <row r="322" spans="1:8" ht="30" x14ac:dyDescent="0.25">
      <c r="A322" s="158">
        <v>56</v>
      </c>
      <c r="B322" s="178" t="s">
        <v>369</v>
      </c>
      <c r="C322" s="158" t="s">
        <v>25</v>
      </c>
      <c r="D322" s="158" t="s">
        <v>26</v>
      </c>
      <c r="E322" s="158" t="s">
        <v>1</v>
      </c>
      <c r="F322" s="158" t="s">
        <v>5</v>
      </c>
      <c r="G322" s="42"/>
      <c r="H322" s="42" t="s">
        <v>825</v>
      </c>
    </row>
    <row r="323" spans="1:8" ht="30" x14ac:dyDescent="0.25">
      <c r="A323" s="158">
        <v>57</v>
      </c>
      <c r="B323" s="178" t="s">
        <v>370</v>
      </c>
      <c r="C323" s="158" t="s">
        <v>25</v>
      </c>
      <c r="D323" s="158" t="s">
        <v>26</v>
      </c>
      <c r="E323" s="158" t="s">
        <v>1</v>
      </c>
      <c r="F323" s="158" t="s">
        <v>5</v>
      </c>
      <c r="G323" s="42"/>
      <c r="H323" s="42" t="s">
        <v>825</v>
      </c>
    </row>
    <row r="324" spans="1:8" ht="45" x14ac:dyDescent="0.25">
      <c r="A324" s="158">
        <v>57</v>
      </c>
      <c r="B324" s="178" t="s">
        <v>371</v>
      </c>
      <c r="C324" s="158"/>
      <c r="D324" s="158" t="s">
        <v>68</v>
      </c>
      <c r="E324" s="158" t="s">
        <v>742</v>
      </c>
      <c r="F324" s="158" t="s">
        <v>746</v>
      </c>
      <c r="G324" s="160" t="s">
        <v>688</v>
      </c>
      <c r="H324" s="42"/>
    </row>
    <row r="325" spans="1:8" ht="60" x14ac:dyDescent="0.25">
      <c r="A325" s="158">
        <v>57</v>
      </c>
      <c r="B325" s="178" t="s">
        <v>372</v>
      </c>
      <c r="C325" s="158" t="s">
        <v>193</v>
      </c>
      <c r="D325" s="158" t="s">
        <v>63</v>
      </c>
      <c r="E325" s="158" t="s">
        <v>699</v>
      </c>
      <c r="F325" s="158"/>
      <c r="G325" s="42"/>
      <c r="H325" s="42" t="s">
        <v>842</v>
      </c>
    </row>
    <row r="326" spans="1:8" ht="135" x14ac:dyDescent="0.25">
      <c r="A326" s="158">
        <v>57</v>
      </c>
      <c r="B326" s="178" t="s">
        <v>373</v>
      </c>
      <c r="C326" s="158" t="s">
        <v>22</v>
      </c>
      <c r="D326" s="158" t="s">
        <v>23</v>
      </c>
      <c r="E326" s="158" t="s">
        <v>3</v>
      </c>
      <c r="F326" s="158" t="s">
        <v>6</v>
      </c>
      <c r="G326" s="42"/>
      <c r="H326" s="42" t="s">
        <v>831</v>
      </c>
    </row>
    <row r="327" spans="1:8" ht="30" x14ac:dyDescent="0.25">
      <c r="A327" s="158">
        <v>57</v>
      </c>
      <c r="B327" s="178" t="s">
        <v>374</v>
      </c>
      <c r="C327" s="158" t="s">
        <v>25</v>
      </c>
      <c r="D327" s="158" t="s">
        <v>26</v>
      </c>
      <c r="E327" s="158" t="s">
        <v>1</v>
      </c>
      <c r="F327" s="158" t="s">
        <v>2</v>
      </c>
      <c r="G327" s="42"/>
      <c r="H327" s="42" t="s">
        <v>826</v>
      </c>
    </row>
    <row r="328" spans="1:8" ht="30" customHeight="1" x14ac:dyDescent="0.25">
      <c r="A328" s="158">
        <v>57</v>
      </c>
      <c r="B328" s="178" t="s">
        <v>375</v>
      </c>
      <c r="C328" s="158" t="s">
        <v>94</v>
      </c>
      <c r="D328" s="158" t="s">
        <v>95</v>
      </c>
      <c r="E328" s="158" t="s">
        <v>674</v>
      </c>
      <c r="F328" s="158" t="s">
        <v>675</v>
      </c>
      <c r="G328" s="42"/>
      <c r="H328" s="42" t="s">
        <v>839</v>
      </c>
    </row>
    <row r="329" spans="1:8" ht="75" x14ac:dyDescent="0.25">
      <c r="A329" s="158">
        <v>57</v>
      </c>
      <c r="B329" s="178" t="s">
        <v>376</v>
      </c>
      <c r="C329" s="158" t="s">
        <v>25</v>
      </c>
      <c r="D329" s="158" t="s">
        <v>26</v>
      </c>
      <c r="E329" s="158" t="s">
        <v>9</v>
      </c>
      <c r="F329" s="158" t="s">
        <v>10</v>
      </c>
      <c r="G329" s="42"/>
      <c r="H329" s="42" t="s">
        <v>843</v>
      </c>
    </row>
    <row r="330" spans="1:8" ht="30" x14ac:dyDescent="0.25">
      <c r="A330" s="158">
        <v>57</v>
      </c>
      <c r="B330" s="178" t="s">
        <v>377</v>
      </c>
      <c r="C330" s="158" t="s">
        <v>25</v>
      </c>
      <c r="D330" s="158" t="s">
        <v>26</v>
      </c>
      <c r="E330" s="158" t="s">
        <v>4</v>
      </c>
      <c r="F330" s="158"/>
      <c r="G330" s="42"/>
      <c r="H330" s="42" t="s">
        <v>826</v>
      </c>
    </row>
    <row r="331" spans="1:8" ht="60" x14ac:dyDescent="0.25">
      <c r="A331" s="158">
        <v>57</v>
      </c>
      <c r="B331" s="178" t="s">
        <v>378</v>
      </c>
      <c r="C331" s="158" t="s">
        <v>62</v>
      </c>
      <c r="D331" s="158" t="s">
        <v>63</v>
      </c>
      <c r="E331" s="158" t="s">
        <v>699</v>
      </c>
      <c r="F331" s="158"/>
      <c r="G331" s="42"/>
      <c r="H331" s="42" t="s">
        <v>828</v>
      </c>
    </row>
    <row r="332" spans="1:8" ht="60" x14ac:dyDescent="0.25">
      <c r="A332" s="158">
        <v>57</v>
      </c>
      <c r="B332" s="178" t="s">
        <v>379</v>
      </c>
      <c r="C332" s="158" t="s">
        <v>25</v>
      </c>
      <c r="D332" s="158" t="s">
        <v>26</v>
      </c>
      <c r="E332" s="158" t="s">
        <v>9</v>
      </c>
      <c r="F332" s="158" t="s">
        <v>5</v>
      </c>
      <c r="G332" s="42"/>
      <c r="H332" s="42" t="s">
        <v>825</v>
      </c>
    </row>
    <row r="333" spans="1:8" ht="60" x14ac:dyDescent="0.25">
      <c r="A333" s="158">
        <v>57</v>
      </c>
      <c r="B333" s="178" t="s">
        <v>380</v>
      </c>
      <c r="C333" s="158" t="s">
        <v>25</v>
      </c>
      <c r="D333" s="158" t="s">
        <v>26</v>
      </c>
      <c r="E333" s="158" t="s">
        <v>11</v>
      </c>
      <c r="F333" s="158" t="s">
        <v>5</v>
      </c>
      <c r="G333" s="42"/>
      <c r="H333" s="42" t="s">
        <v>827</v>
      </c>
    </row>
    <row r="334" spans="1:8" ht="92.25" x14ac:dyDescent="0.25">
      <c r="A334" s="158">
        <v>57</v>
      </c>
      <c r="B334" s="178" t="s">
        <v>381</v>
      </c>
      <c r="C334" s="158" t="s">
        <v>25</v>
      </c>
      <c r="D334" s="158" t="s">
        <v>26</v>
      </c>
      <c r="E334" s="158" t="s">
        <v>9</v>
      </c>
      <c r="F334" s="158" t="s">
        <v>5</v>
      </c>
      <c r="G334" s="42"/>
      <c r="H334" s="42" t="s">
        <v>825</v>
      </c>
    </row>
    <row r="335" spans="1:8" ht="30" x14ac:dyDescent="0.25">
      <c r="A335" s="158">
        <v>57</v>
      </c>
      <c r="B335" s="178" t="s">
        <v>382</v>
      </c>
      <c r="C335" s="158" t="s">
        <v>193</v>
      </c>
      <c r="D335" s="158" t="s">
        <v>63</v>
      </c>
      <c r="E335" s="158" t="s">
        <v>698</v>
      </c>
      <c r="F335" s="158"/>
      <c r="G335" s="42"/>
      <c r="H335" s="42" t="s">
        <v>842</v>
      </c>
    </row>
    <row r="336" spans="1:8" ht="30" x14ac:dyDescent="0.25">
      <c r="A336" s="158">
        <v>57</v>
      </c>
      <c r="B336" s="178" t="s">
        <v>383</v>
      </c>
      <c r="C336" s="158"/>
      <c r="D336" s="158" t="s">
        <v>53</v>
      </c>
      <c r="E336" s="158"/>
      <c r="F336" s="158" t="s">
        <v>738</v>
      </c>
      <c r="G336" s="160" t="s">
        <v>688</v>
      </c>
      <c r="H336" s="42"/>
    </row>
    <row r="337" spans="1:8" ht="119.25" customHeight="1" x14ac:dyDescent="0.25">
      <c r="A337" s="158">
        <v>57</v>
      </c>
      <c r="B337" s="178" t="s">
        <v>384</v>
      </c>
      <c r="C337" s="158" t="s">
        <v>47</v>
      </c>
      <c r="D337" s="158" t="s">
        <v>48</v>
      </c>
      <c r="E337" s="158" t="s">
        <v>49</v>
      </c>
      <c r="F337" s="158"/>
      <c r="G337" s="42"/>
      <c r="H337" s="42" t="s">
        <v>844</v>
      </c>
    </row>
    <row r="338" spans="1:8" x14ac:dyDescent="0.25">
      <c r="A338" s="158">
        <v>57</v>
      </c>
      <c r="B338" s="178" t="s">
        <v>385</v>
      </c>
      <c r="C338" s="158" t="s">
        <v>25</v>
      </c>
      <c r="D338" s="158" t="s">
        <v>26</v>
      </c>
      <c r="E338" s="158" t="s">
        <v>1</v>
      </c>
      <c r="F338" s="158" t="s">
        <v>5</v>
      </c>
      <c r="G338" s="42"/>
      <c r="H338" s="42" t="s">
        <v>826</v>
      </c>
    </row>
    <row r="339" spans="1:8" ht="30" x14ac:dyDescent="0.25">
      <c r="A339" s="158">
        <v>58</v>
      </c>
      <c r="B339" s="178" t="s">
        <v>386</v>
      </c>
      <c r="C339" s="158" t="s">
        <v>22</v>
      </c>
      <c r="D339" s="158" t="s">
        <v>23</v>
      </c>
      <c r="E339" s="158" t="s">
        <v>3</v>
      </c>
      <c r="F339" s="158" t="s">
        <v>8</v>
      </c>
      <c r="G339" s="42"/>
      <c r="H339" s="42" t="s">
        <v>846</v>
      </c>
    </row>
    <row r="340" spans="1:8" ht="45" x14ac:dyDescent="0.25">
      <c r="A340" s="158">
        <v>58</v>
      </c>
      <c r="B340" s="178" t="s">
        <v>387</v>
      </c>
      <c r="C340" s="158" t="s">
        <v>22</v>
      </c>
      <c r="D340" s="158" t="s">
        <v>23</v>
      </c>
      <c r="E340" s="158" t="s">
        <v>3</v>
      </c>
      <c r="F340" s="158" t="s">
        <v>6</v>
      </c>
      <c r="G340" s="42"/>
      <c r="H340" s="42" t="s">
        <v>824</v>
      </c>
    </row>
    <row r="341" spans="1:8" ht="60" x14ac:dyDescent="0.25">
      <c r="A341" s="158">
        <v>58</v>
      </c>
      <c r="B341" s="178" t="s">
        <v>388</v>
      </c>
      <c r="C341" s="158" t="s">
        <v>57</v>
      </c>
      <c r="D341" s="158" t="s">
        <v>58</v>
      </c>
      <c r="E341" s="158" t="s">
        <v>59</v>
      </c>
      <c r="F341" s="158" t="s">
        <v>60</v>
      </c>
      <c r="G341" s="42"/>
      <c r="H341" s="42" t="s">
        <v>832</v>
      </c>
    </row>
    <row r="342" spans="1:8" ht="90" x14ac:dyDescent="0.25">
      <c r="A342" s="158">
        <v>58</v>
      </c>
      <c r="B342" s="178" t="s">
        <v>389</v>
      </c>
      <c r="C342" s="158" t="s">
        <v>25</v>
      </c>
      <c r="D342" s="158" t="s">
        <v>26</v>
      </c>
      <c r="E342" s="158" t="s">
        <v>27</v>
      </c>
      <c r="F342" s="158" t="s">
        <v>5</v>
      </c>
      <c r="G342" s="42"/>
      <c r="H342" s="42" t="s">
        <v>825</v>
      </c>
    </row>
    <row r="343" spans="1:8" ht="30" x14ac:dyDescent="0.25">
      <c r="A343" s="158">
        <v>58</v>
      </c>
      <c r="B343" s="178" t="s">
        <v>390</v>
      </c>
      <c r="C343" s="158" t="s">
        <v>25</v>
      </c>
      <c r="D343" s="158" t="s">
        <v>26</v>
      </c>
      <c r="E343" s="158" t="s">
        <v>1</v>
      </c>
      <c r="F343" s="158" t="s">
        <v>5</v>
      </c>
      <c r="G343" s="42"/>
      <c r="H343" s="42" t="s">
        <v>825</v>
      </c>
    </row>
    <row r="344" spans="1:8" ht="30" x14ac:dyDescent="0.25">
      <c r="A344" s="158">
        <v>58</v>
      </c>
      <c r="B344" s="178" t="s">
        <v>391</v>
      </c>
      <c r="C344" s="158" t="s">
        <v>25</v>
      </c>
      <c r="D344" s="158" t="s">
        <v>26</v>
      </c>
      <c r="E344" s="158" t="s">
        <v>4</v>
      </c>
      <c r="F344" s="158"/>
      <c r="G344" s="42"/>
      <c r="H344" s="42" t="s">
        <v>826</v>
      </c>
    </row>
    <row r="345" spans="1:8" x14ac:dyDescent="0.25">
      <c r="A345" s="158">
        <v>58</v>
      </c>
      <c r="B345" s="186" t="s">
        <v>392</v>
      </c>
      <c r="C345" s="180" t="s">
        <v>36</v>
      </c>
      <c r="D345" s="180" t="s">
        <v>37</v>
      </c>
      <c r="E345" s="180" t="s">
        <v>131</v>
      </c>
      <c r="F345" s="158" t="s">
        <v>175</v>
      </c>
      <c r="G345" s="42"/>
      <c r="H345" s="42" t="s">
        <v>824</v>
      </c>
    </row>
    <row r="346" spans="1:8" x14ac:dyDescent="0.25">
      <c r="A346" s="158">
        <v>58</v>
      </c>
      <c r="B346" s="186"/>
      <c r="C346" s="180"/>
      <c r="D346" s="180"/>
      <c r="E346" s="180"/>
      <c r="F346" s="158" t="s">
        <v>307</v>
      </c>
      <c r="G346" s="42"/>
      <c r="H346" s="42"/>
    </row>
    <row r="347" spans="1:8" ht="30" x14ac:dyDescent="0.25">
      <c r="A347" s="158">
        <v>58</v>
      </c>
      <c r="B347" s="178" t="s">
        <v>393</v>
      </c>
      <c r="C347" s="158" t="s">
        <v>240</v>
      </c>
      <c r="D347" s="158" t="s">
        <v>241</v>
      </c>
      <c r="E347" s="158"/>
      <c r="F347" s="158" t="s">
        <v>110</v>
      </c>
      <c r="G347" s="42"/>
      <c r="H347" s="42" t="s">
        <v>826</v>
      </c>
    </row>
    <row r="348" spans="1:8" ht="90" x14ac:dyDescent="0.25">
      <c r="A348" s="158">
        <v>58</v>
      </c>
      <c r="B348" s="158" t="s">
        <v>394</v>
      </c>
      <c r="C348" s="158" t="s">
        <v>22</v>
      </c>
      <c r="D348" s="158" t="s">
        <v>23</v>
      </c>
      <c r="E348" s="158" t="s">
        <v>3</v>
      </c>
      <c r="F348" s="158" t="s">
        <v>8</v>
      </c>
      <c r="G348" s="42"/>
      <c r="H348" s="42" t="s">
        <v>824</v>
      </c>
    </row>
    <row r="349" spans="1:8" ht="30" x14ac:dyDescent="0.25">
      <c r="A349" s="158">
        <v>58</v>
      </c>
      <c r="B349" s="178" t="s">
        <v>395</v>
      </c>
      <c r="C349" s="158" t="s">
        <v>25</v>
      </c>
      <c r="D349" s="158" t="s">
        <v>396</v>
      </c>
      <c r="E349" s="158" t="s">
        <v>4</v>
      </c>
      <c r="F349" s="158"/>
      <c r="G349" s="42"/>
      <c r="H349" s="42" t="s">
        <v>834</v>
      </c>
    </row>
    <row r="350" spans="1:8" ht="60" x14ac:dyDescent="0.25">
      <c r="A350" s="158">
        <v>58</v>
      </c>
      <c r="B350" s="178" t="s">
        <v>397</v>
      </c>
      <c r="C350" s="158" t="s">
        <v>62</v>
      </c>
      <c r="D350" s="158" t="s">
        <v>63</v>
      </c>
      <c r="E350" s="158" t="s">
        <v>699</v>
      </c>
      <c r="F350" s="158"/>
      <c r="G350" s="42"/>
      <c r="H350" s="42" t="s">
        <v>828</v>
      </c>
    </row>
    <row r="351" spans="1:8" ht="32.25" x14ac:dyDescent="0.25">
      <c r="A351" s="158">
        <v>58</v>
      </c>
      <c r="B351" s="178" t="s">
        <v>398</v>
      </c>
      <c r="C351" s="158" t="s">
        <v>25</v>
      </c>
      <c r="D351" s="158" t="s">
        <v>26</v>
      </c>
      <c r="E351" s="158" t="s">
        <v>27</v>
      </c>
      <c r="F351" s="158" t="s">
        <v>5</v>
      </c>
      <c r="G351" s="42"/>
      <c r="H351" s="42" t="s">
        <v>827</v>
      </c>
    </row>
    <row r="352" spans="1:8" ht="30" x14ac:dyDescent="0.25">
      <c r="A352" s="158">
        <v>58</v>
      </c>
      <c r="B352" s="178" t="s">
        <v>399</v>
      </c>
      <c r="C352" s="158" t="s">
        <v>400</v>
      </c>
      <c r="D352" s="158" t="s">
        <v>37</v>
      </c>
      <c r="E352" s="158" t="s">
        <v>131</v>
      </c>
      <c r="F352" s="158" t="s">
        <v>39</v>
      </c>
      <c r="G352" s="42"/>
      <c r="H352" s="42" t="s">
        <v>840</v>
      </c>
    </row>
    <row r="353" spans="1:8" ht="30" x14ac:dyDescent="0.25">
      <c r="A353" s="158">
        <v>58</v>
      </c>
      <c r="B353" s="178" t="s">
        <v>98</v>
      </c>
      <c r="C353" s="158"/>
      <c r="D353" s="158" t="s">
        <v>68</v>
      </c>
      <c r="E353" s="158" t="s">
        <v>739</v>
      </c>
      <c r="F353" s="158"/>
      <c r="G353" s="160" t="s">
        <v>688</v>
      </c>
      <c r="H353" s="42"/>
    </row>
    <row r="354" spans="1:8" ht="30" x14ac:dyDescent="0.25">
      <c r="A354" s="158">
        <v>58</v>
      </c>
      <c r="B354" s="178" t="s">
        <v>401</v>
      </c>
      <c r="C354" s="158"/>
      <c r="D354" s="158" t="s">
        <v>68</v>
      </c>
      <c r="E354" s="158" t="s">
        <v>739</v>
      </c>
      <c r="F354" s="158"/>
      <c r="G354" s="160" t="s">
        <v>688</v>
      </c>
      <c r="H354" s="42"/>
    </row>
    <row r="355" spans="1:8" ht="48" x14ac:dyDescent="0.25">
      <c r="A355" s="158">
        <v>58</v>
      </c>
      <c r="B355" s="158" t="s">
        <v>402</v>
      </c>
      <c r="C355" s="158" t="s">
        <v>22</v>
      </c>
      <c r="D355" s="158" t="s">
        <v>23</v>
      </c>
      <c r="E355" s="158" t="s">
        <v>3</v>
      </c>
      <c r="F355" s="158" t="s">
        <v>7</v>
      </c>
      <c r="G355" s="158" t="s">
        <v>684</v>
      </c>
      <c r="H355" s="158" t="s">
        <v>842</v>
      </c>
    </row>
    <row r="356" spans="1:8" ht="45" x14ac:dyDescent="0.25">
      <c r="A356" s="158">
        <v>58</v>
      </c>
      <c r="B356" s="178" t="s">
        <v>403</v>
      </c>
      <c r="C356" s="158" t="s">
        <v>348</v>
      </c>
      <c r="D356" s="158" t="s">
        <v>37</v>
      </c>
      <c r="E356" s="158" t="s">
        <v>131</v>
      </c>
      <c r="F356" s="158" t="s">
        <v>307</v>
      </c>
      <c r="G356" s="42"/>
      <c r="H356" s="42" t="s">
        <v>831</v>
      </c>
    </row>
    <row r="357" spans="1:8" ht="30" x14ac:dyDescent="0.25">
      <c r="A357" s="158">
        <v>58</v>
      </c>
      <c r="B357" s="178" t="s">
        <v>404</v>
      </c>
      <c r="C357" s="158"/>
      <c r="D357" s="158" t="s">
        <v>68</v>
      </c>
      <c r="E357" s="158" t="s">
        <v>739</v>
      </c>
      <c r="F357" s="158"/>
      <c r="G357" s="160" t="s">
        <v>688</v>
      </c>
      <c r="H357" s="42"/>
    </row>
    <row r="358" spans="1:8" ht="30" x14ac:dyDescent="0.25">
      <c r="A358" s="158">
        <v>58</v>
      </c>
      <c r="B358" s="178" t="s">
        <v>405</v>
      </c>
      <c r="C358" s="158" t="s">
        <v>25</v>
      </c>
      <c r="D358" s="158" t="s">
        <v>26</v>
      </c>
      <c r="E358" s="158" t="s">
        <v>27</v>
      </c>
      <c r="F358" s="158" t="s">
        <v>5</v>
      </c>
      <c r="G358" s="42"/>
      <c r="H358" s="42" t="s">
        <v>825</v>
      </c>
    </row>
    <row r="359" spans="1:8" ht="60" x14ac:dyDescent="0.25">
      <c r="A359" s="158">
        <v>58</v>
      </c>
      <c r="B359" s="178" t="s">
        <v>406</v>
      </c>
      <c r="C359" s="158" t="s">
        <v>25</v>
      </c>
      <c r="D359" s="158" t="s">
        <v>26</v>
      </c>
      <c r="E359" s="158" t="s">
        <v>27</v>
      </c>
      <c r="F359" s="158" t="s">
        <v>5</v>
      </c>
      <c r="G359" s="42"/>
      <c r="H359" s="42" t="s">
        <v>825</v>
      </c>
    </row>
    <row r="360" spans="1:8" ht="60" x14ac:dyDescent="0.25">
      <c r="A360" s="158">
        <v>58</v>
      </c>
      <c r="B360" s="178" t="s">
        <v>407</v>
      </c>
      <c r="C360" s="158" t="s">
        <v>36</v>
      </c>
      <c r="D360" s="158" t="s">
        <v>37</v>
      </c>
      <c r="E360" s="158" t="s">
        <v>131</v>
      </c>
      <c r="F360" s="158" t="s">
        <v>39</v>
      </c>
      <c r="G360" s="42"/>
      <c r="H360" s="42" t="s">
        <v>824</v>
      </c>
    </row>
    <row r="361" spans="1:8" ht="30" x14ac:dyDescent="0.25">
      <c r="A361" s="158">
        <v>59</v>
      </c>
      <c r="B361" s="178" t="s">
        <v>408</v>
      </c>
      <c r="C361" s="158" t="s">
        <v>47</v>
      </c>
      <c r="D361" s="158" t="s">
        <v>48</v>
      </c>
      <c r="E361" s="158" t="s">
        <v>49</v>
      </c>
      <c r="F361" s="158"/>
      <c r="G361" s="42"/>
      <c r="H361" s="42" t="s">
        <v>830</v>
      </c>
    </row>
    <row r="362" spans="1:8" ht="30" x14ac:dyDescent="0.25">
      <c r="A362" s="158">
        <v>59</v>
      </c>
      <c r="B362" s="158" t="s">
        <v>409</v>
      </c>
      <c r="C362" s="158" t="s">
        <v>57</v>
      </c>
      <c r="D362" s="158" t="s">
        <v>58</v>
      </c>
      <c r="E362" s="158" t="s">
        <v>59</v>
      </c>
      <c r="F362" s="158" t="s">
        <v>60</v>
      </c>
      <c r="G362" s="42"/>
      <c r="H362" s="42" t="s">
        <v>832</v>
      </c>
    </row>
    <row r="363" spans="1:8" ht="30" x14ac:dyDescent="0.25">
      <c r="A363" s="158">
        <v>59</v>
      </c>
      <c r="B363" s="158" t="s">
        <v>410</v>
      </c>
      <c r="C363" s="158" t="s">
        <v>57</v>
      </c>
      <c r="D363" s="158" t="s">
        <v>58</v>
      </c>
      <c r="E363" s="158" t="s">
        <v>59</v>
      </c>
      <c r="F363" s="158" t="s">
        <v>60</v>
      </c>
      <c r="G363" s="42"/>
      <c r="H363" s="42" t="s">
        <v>832</v>
      </c>
    </row>
    <row r="364" spans="1:8" ht="60" x14ac:dyDescent="0.25">
      <c r="A364" s="158">
        <v>59</v>
      </c>
      <c r="B364" s="158" t="s">
        <v>411</v>
      </c>
      <c r="C364" s="158" t="s">
        <v>62</v>
      </c>
      <c r="D364" s="158" t="s">
        <v>63</v>
      </c>
      <c r="E364" s="158" t="s">
        <v>699</v>
      </c>
      <c r="F364" s="158"/>
      <c r="G364" s="42"/>
      <c r="H364" s="42" t="s">
        <v>828</v>
      </c>
    </row>
    <row r="365" spans="1:8" ht="30" x14ac:dyDescent="0.25">
      <c r="A365" s="158">
        <v>59</v>
      </c>
      <c r="B365" s="158" t="s">
        <v>412</v>
      </c>
      <c r="C365" s="158" t="s">
        <v>62</v>
      </c>
      <c r="D365" s="158" t="s">
        <v>63</v>
      </c>
      <c r="E365" s="158" t="s">
        <v>698</v>
      </c>
      <c r="F365" s="158"/>
      <c r="G365" s="42"/>
      <c r="H365" s="42" t="s">
        <v>828</v>
      </c>
    </row>
    <row r="366" spans="1:8" ht="30" x14ac:dyDescent="0.25">
      <c r="A366" s="158">
        <v>59</v>
      </c>
      <c r="B366" s="158" t="s">
        <v>413</v>
      </c>
      <c r="C366" s="158" t="s">
        <v>62</v>
      </c>
      <c r="D366" s="158" t="s">
        <v>63</v>
      </c>
      <c r="E366" s="158" t="s">
        <v>701</v>
      </c>
      <c r="F366" s="158"/>
      <c r="G366" s="42"/>
      <c r="H366" s="42" t="s">
        <v>846</v>
      </c>
    </row>
    <row r="367" spans="1:8" ht="30" x14ac:dyDescent="0.25">
      <c r="A367" s="158">
        <v>59</v>
      </c>
      <c r="B367" s="158" t="s">
        <v>414</v>
      </c>
      <c r="C367" s="158" t="s">
        <v>25</v>
      </c>
      <c r="D367" s="158" t="s">
        <v>26</v>
      </c>
      <c r="E367" s="158" t="s">
        <v>1</v>
      </c>
      <c r="F367" s="158" t="s">
        <v>5</v>
      </c>
      <c r="G367" s="42"/>
      <c r="H367" s="42" t="s">
        <v>825</v>
      </c>
    </row>
    <row r="368" spans="1:8" ht="74.25" customHeight="1" x14ac:dyDescent="0.25">
      <c r="A368" s="158">
        <v>59</v>
      </c>
      <c r="B368" s="179" t="s">
        <v>415</v>
      </c>
      <c r="C368" s="180" t="s">
        <v>62</v>
      </c>
      <c r="D368" s="180" t="s">
        <v>63</v>
      </c>
      <c r="E368" s="158" t="s">
        <v>291</v>
      </c>
      <c r="F368" s="180"/>
      <c r="G368" s="42"/>
      <c r="H368" s="42" t="s">
        <v>828</v>
      </c>
    </row>
    <row r="369" spans="1:8" ht="30" x14ac:dyDescent="0.25">
      <c r="A369" s="158">
        <v>59</v>
      </c>
      <c r="B369" s="179"/>
      <c r="C369" s="180"/>
      <c r="D369" s="180"/>
      <c r="E369" s="158" t="s">
        <v>261</v>
      </c>
      <c r="F369" s="180"/>
      <c r="G369" s="42"/>
      <c r="H369" s="42"/>
    </row>
    <row r="370" spans="1:8" ht="75" x14ac:dyDescent="0.25">
      <c r="A370" s="158">
        <v>59</v>
      </c>
      <c r="B370" s="178" t="s">
        <v>416</v>
      </c>
      <c r="C370" s="158" t="s">
        <v>57</v>
      </c>
      <c r="D370" s="158" t="s">
        <v>58</v>
      </c>
      <c r="E370" s="158" t="s">
        <v>59</v>
      </c>
      <c r="F370" s="158" t="s">
        <v>60</v>
      </c>
      <c r="G370" s="42"/>
      <c r="H370" s="42" t="s">
        <v>832</v>
      </c>
    </row>
    <row r="371" spans="1:8" ht="90" x14ac:dyDescent="0.25">
      <c r="A371" s="158">
        <v>59</v>
      </c>
      <c r="B371" s="181" t="s">
        <v>417</v>
      </c>
      <c r="C371" s="158" t="s">
        <v>240</v>
      </c>
      <c r="D371" s="158" t="s">
        <v>241</v>
      </c>
      <c r="E371" s="158"/>
      <c r="F371" s="158" t="s">
        <v>418</v>
      </c>
      <c r="G371" s="42"/>
      <c r="H371" s="42" t="s">
        <v>825</v>
      </c>
    </row>
    <row r="372" spans="1:8" ht="30" x14ac:dyDescent="0.25">
      <c r="A372" s="158">
        <v>59</v>
      </c>
      <c r="B372" s="177" t="s">
        <v>683</v>
      </c>
      <c r="C372" s="158" t="s">
        <v>22</v>
      </c>
      <c r="D372" s="158" t="s">
        <v>33</v>
      </c>
      <c r="E372" s="158" t="s">
        <v>698</v>
      </c>
      <c r="F372" s="158"/>
      <c r="G372" s="42"/>
      <c r="H372" s="42" t="s">
        <v>857</v>
      </c>
    </row>
    <row r="373" spans="1:8" ht="30" x14ac:dyDescent="0.25">
      <c r="A373" s="158">
        <v>59</v>
      </c>
      <c r="B373" s="178" t="s">
        <v>419</v>
      </c>
      <c r="C373" s="158" t="s">
        <v>25</v>
      </c>
      <c r="D373" s="158" t="s">
        <v>26</v>
      </c>
      <c r="E373" s="158" t="s">
        <v>27</v>
      </c>
      <c r="F373" s="158" t="s">
        <v>5</v>
      </c>
      <c r="G373" s="42"/>
      <c r="H373" s="42" t="s">
        <v>825</v>
      </c>
    </row>
    <row r="374" spans="1:8" ht="30" x14ac:dyDescent="0.25">
      <c r="A374" s="158">
        <v>60</v>
      </c>
      <c r="B374" s="178" t="s">
        <v>420</v>
      </c>
      <c r="C374" s="158" t="s">
        <v>25</v>
      </c>
      <c r="D374" s="158" t="s">
        <v>26</v>
      </c>
      <c r="E374" s="158" t="s">
        <v>9</v>
      </c>
      <c r="F374" s="158" t="s">
        <v>5</v>
      </c>
      <c r="G374" s="42"/>
      <c r="H374" s="42" t="s">
        <v>827</v>
      </c>
    </row>
    <row r="375" spans="1:8" ht="45" x14ac:dyDescent="0.25">
      <c r="A375" s="158">
        <v>60</v>
      </c>
      <c r="B375" s="178" t="s">
        <v>421</v>
      </c>
      <c r="C375" s="158" t="s">
        <v>57</v>
      </c>
      <c r="D375" s="158" t="s">
        <v>58</v>
      </c>
      <c r="E375" s="158" t="s">
        <v>143</v>
      </c>
      <c r="F375" s="158" t="s">
        <v>60</v>
      </c>
      <c r="G375" s="42"/>
      <c r="H375" s="42" t="s">
        <v>832</v>
      </c>
    </row>
    <row r="376" spans="1:8" ht="60" x14ac:dyDescent="0.25">
      <c r="A376" s="158">
        <v>60</v>
      </c>
      <c r="B376" s="178" t="s">
        <v>422</v>
      </c>
      <c r="C376" s="158" t="s">
        <v>22</v>
      </c>
      <c r="D376" s="158" t="s">
        <v>23</v>
      </c>
      <c r="E376" s="158" t="s">
        <v>3</v>
      </c>
      <c r="F376" s="158" t="s">
        <v>6</v>
      </c>
      <c r="G376" s="42"/>
      <c r="H376" s="42" t="s">
        <v>824</v>
      </c>
    </row>
    <row r="377" spans="1:8" ht="45" x14ac:dyDescent="0.25">
      <c r="A377" s="158">
        <v>60</v>
      </c>
      <c r="B377" s="178" t="s">
        <v>423</v>
      </c>
      <c r="C377" s="158" t="s">
        <v>22</v>
      </c>
      <c r="D377" s="158" t="s">
        <v>23</v>
      </c>
      <c r="E377" s="158" t="s">
        <v>3</v>
      </c>
      <c r="F377" s="158" t="s">
        <v>6</v>
      </c>
      <c r="G377" s="158" t="s">
        <v>731</v>
      </c>
      <c r="H377" s="158" t="s">
        <v>829</v>
      </c>
    </row>
    <row r="378" spans="1:8" ht="45" x14ac:dyDescent="0.25">
      <c r="A378" s="158">
        <v>60</v>
      </c>
      <c r="B378" s="178" t="s">
        <v>424</v>
      </c>
      <c r="C378" s="158" t="s">
        <v>25</v>
      </c>
      <c r="D378" s="158" t="s">
        <v>26</v>
      </c>
      <c r="E378" s="158" t="s">
        <v>27</v>
      </c>
      <c r="F378" s="158" t="s">
        <v>5</v>
      </c>
      <c r="G378" s="158" t="s">
        <v>720</v>
      </c>
      <c r="H378" s="158" t="s">
        <v>841</v>
      </c>
    </row>
    <row r="379" spans="1:8" ht="60" x14ac:dyDescent="0.25">
      <c r="A379" s="158">
        <v>60</v>
      </c>
      <c r="B379" s="178" t="s">
        <v>425</v>
      </c>
      <c r="C379" s="158" t="s">
        <v>193</v>
      </c>
      <c r="D379" s="158" t="s">
        <v>63</v>
      </c>
      <c r="E379" s="158" t="s">
        <v>699</v>
      </c>
      <c r="F379" s="158"/>
      <c r="G379" s="42"/>
      <c r="H379" s="42" t="s">
        <v>828</v>
      </c>
    </row>
    <row r="380" spans="1:8" ht="30" x14ac:dyDescent="0.25">
      <c r="A380" s="158">
        <v>60</v>
      </c>
      <c r="B380" s="178" t="s">
        <v>194</v>
      </c>
      <c r="C380" s="158"/>
      <c r="D380" s="158" t="s">
        <v>45</v>
      </c>
      <c r="E380" s="158" t="s">
        <v>496</v>
      </c>
      <c r="F380" s="158"/>
      <c r="G380" s="160" t="s">
        <v>688</v>
      </c>
      <c r="H380" s="42"/>
    </row>
    <row r="381" spans="1:8" ht="30" x14ac:dyDescent="0.25">
      <c r="A381" s="158">
        <v>60</v>
      </c>
      <c r="B381" s="178" t="s">
        <v>426</v>
      </c>
      <c r="C381" s="158" t="s">
        <v>25</v>
      </c>
      <c r="D381" s="158" t="s">
        <v>26</v>
      </c>
      <c r="E381" s="158" t="s">
        <v>4</v>
      </c>
      <c r="F381" s="158"/>
      <c r="G381" s="42"/>
      <c r="H381" s="42" t="s">
        <v>826</v>
      </c>
    </row>
    <row r="382" spans="1:8" ht="60" x14ac:dyDescent="0.25">
      <c r="A382" s="158">
        <v>60</v>
      </c>
      <c r="B382" s="178" t="s">
        <v>710</v>
      </c>
      <c r="C382" s="158" t="s">
        <v>22</v>
      </c>
      <c r="D382" s="158" t="s">
        <v>33</v>
      </c>
      <c r="E382" s="158" t="s">
        <v>699</v>
      </c>
      <c r="F382" s="158"/>
      <c r="G382" s="42"/>
      <c r="H382" s="42" t="s">
        <v>828</v>
      </c>
    </row>
    <row r="383" spans="1:8" ht="45" x14ac:dyDescent="0.25">
      <c r="A383" s="158">
        <v>60</v>
      </c>
      <c r="B383" s="178" t="s">
        <v>709</v>
      </c>
      <c r="C383" s="158" t="s">
        <v>22</v>
      </c>
      <c r="D383" s="158" t="s">
        <v>706</v>
      </c>
      <c r="E383" s="158"/>
      <c r="F383" s="158" t="s">
        <v>8</v>
      </c>
      <c r="G383" s="158" t="s">
        <v>714</v>
      </c>
      <c r="H383" s="158" t="s">
        <v>849</v>
      </c>
    </row>
    <row r="384" spans="1:8" ht="59.25" customHeight="1" x14ac:dyDescent="0.25">
      <c r="A384" s="158">
        <v>60</v>
      </c>
      <c r="B384" s="186" t="s">
        <v>427</v>
      </c>
      <c r="C384" s="180" t="s">
        <v>36</v>
      </c>
      <c r="D384" s="180" t="s">
        <v>37</v>
      </c>
      <c r="E384" s="180" t="s">
        <v>131</v>
      </c>
      <c r="F384" s="158" t="s">
        <v>307</v>
      </c>
      <c r="G384" s="42"/>
      <c r="H384" s="42" t="s">
        <v>824</v>
      </c>
    </row>
    <row r="385" spans="1:8" x14ac:dyDescent="0.25">
      <c r="A385" s="158">
        <v>60</v>
      </c>
      <c r="B385" s="186"/>
      <c r="C385" s="180"/>
      <c r="D385" s="180"/>
      <c r="E385" s="180"/>
      <c r="F385" s="158" t="s">
        <v>39</v>
      </c>
      <c r="G385" s="42"/>
      <c r="H385" s="42"/>
    </row>
    <row r="386" spans="1:8" ht="300" x14ac:dyDescent="0.25">
      <c r="A386" s="158">
        <v>61</v>
      </c>
      <c r="B386" s="178" t="s">
        <v>428</v>
      </c>
      <c r="C386" s="158" t="s">
        <v>62</v>
      </c>
      <c r="D386" s="158" t="s">
        <v>63</v>
      </c>
      <c r="E386" s="158" t="s">
        <v>751</v>
      </c>
      <c r="F386" s="158"/>
      <c r="G386" s="42"/>
      <c r="H386" s="42" t="s">
        <v>828</v>
      </c>
    </row>
    <row r="387" spans="1:8" ht="180" x14ac:dyDescent="0.25">
      <c r="A387" s="158">
        <v>61</v>
      </c>
      <c r="B387" s="178" t="s">
        <v>429</v>
      </c>
      <c r="C387" s="158" t="s">
        <v>22</v>
      </c>
      <c r="D387" s="158" t="s">
        <v>33</v>
      </c>
      <c r="E387" s="158" t="s">
        <v>699</v>
      </c>
      <c r="F387" s="158"/>
      <c r="G387" s="42"/>
      <c r="H387" s="42" t="s">
        <v>831</v>
      </c>
    </row>
    <row r="388" spans="1:8" ht="75" x14ac:dyDescent="0.25">
      <c r="A388" s="158">
        <v>61</v>
      </c>
      <c r="B388" s="178" t="s">
        <v>430</v>
      </c>
      <c r="C388" s="158" t="s">
        <v>57</v>
      </c>
      <c r="D388" s="158" t="s">
        <v>58</v>
      </c>
      <c r="E388" s="158" t="s">
        <v>143</v>
      </c>
      <c r="F388" s="158" t="s">
        <v>71</v>
      </c>
      <c r="G388" s="42"/>
      <c r="H388" s="42" t="s">
        <v>832</v>
      </c>
    </row>
    <row r="389" spans="1:8" ht="45" x14ac:dyDescent="0.25">
      <c r="A389" s="158">
        <v>61</v>
      </c>
      <c r="B389" s="178" t="s">
        <v>431</v>
      </c>
      <c r="C389" s="158" t="s">
        <v>36</v>
      </c>
      <c r="D389" s="158" t="s">
        <v>37</v>
      </c>
      <c r="E389" s="158" t="s">
        <v>131</v>
      </c>
      <c r="F389" s="158" t="s">
        <v>39</v>
      </c>
      <c r="G389" s="42"/>
      <c r="H389" s="42" t="s">
        <v>824</v>
      </c>
    </row>
    <row r="390" spans="1:8" ht="60" x14ac:dyDescent="0.25">
      <c r="A390" s="158">
        <v>61</v>
      </c>
      <c r="B390" s="182" t="s">
        <v>432</v>
      </c>
      <c r="C390" s="158" t="s">
        <v>62</v>
      </c>
      <c r="D390" s="158" t="s">
        <v>63</v>
      </c>
      <c r="E390" s="158" t="s">
        <v>702</v>
      </c>
      <c r="F390" s="158"/>
      <c r="G390" s="42"/>
      <c r="H390" s="42" t="s">
        <v>824</v>
      </c>
    </row>
    <row r="391" spans="1:8" ht="45" x14ac:dyDescent="0.25">
      <c r="A391" s="158">
        <v>61</v>
      </c>
      <c r="B391" s="182" t="s">
        <v>433</v>
      </c>
      <c r="C391" s="158" t="s">
        <v>25</v>
      </c>
      <c r="D391" s="158" t="s">
        <v>26</v>
      </c>
      <c r="E391" s="158" t="s">
        <v>11</v>
      </c>
      <c r="F391" s="158" t="s">
        <v>10</v>
      </c>
      <c r="G391" s="42"/>
      <c r="H391" s="42" t="s">
        <v>826</v>
      </c>
    </row>
    <row r="392" spans="1:8" ht="30" x14ac:dyDescent="0.25">
      <c r="A392" s="158">
        <v>61</v>
      </c>
      <c r="B392" s="178" t="s">
        <v>434</v>
      </c>
      <c r="C392" s="158" t="s">
        <v>25</v>
      </c>
      <c r="D392" s="158" t="s">
        <v>26</v>
      </c>
      <c r="E392" s="158" t="s">
        <v>11</v>
      </c>
      <c r="F392" s="158" t="s">
        <v>10</v>
      </c>
      <c r="G392" s="42"/>
      <c r="H392" s="42" t="s">
        <v>827</v>
      </c>
    </row>
    <row r="393" spans="1:8" ht="60" x14ac:dyDescent="0.25">
      <c r="A393" s="158">
        <v>61</v>
      </c>
      <c r="B393" s="178" t="s">
        <v>435</v>
      </c>
      <c r="C393" s="158" t="s">
        <v>62</v>
      </c>
      <c r="D393" s="158" t="s">
        <v>63</v>
      </c>
      <c r="E393" s="158" t="s">
        <v>699</v>
      </c>
      <c r="F393" s="158"/>
      <c r="G393" s="42"/>
      <c r="H393" s="42" t="s">
        <v>828</v>
      </c>
    </row>
    <row r="394" spans="1:8" ht="30" x14ac:dyDescent="0.25">
      <c r="A394" s="158">
        <v>61</v>
      </c>
      <c r="B394" s="178" t="s">
        <v>436</v>
      </c>
      <c r="C394" s="158" t="s">
        <v>25</v>
      </c>
      <c r="D394" s="158" t="s">
        <v>26</v>
      </c>
      <c r="E394" s="158" t="s">
        <v>11</v>
      </c>
      <c r="F394" s="158" t="s">
        <v>10</v>
      </c>
      <c r="G394" s="42"/>
      <c r="H394" s="42" t="s">
        <v>825</v>
      </c>
    </row>
    <row r="395" spans="1:8" ht="45" x14ac:dyDescent="0.25">
      <c r="A395" s="158">
        <v>61</v>
      </c>
      <c r="B395" s="178" t="s">
        <v>437</v>
      </c>
      <c r="C395" s="158" t="s">
        <v>25</v>
      </c>
      <c r="D395" s="158" t="s">
        <v>26</v>
      </c>
      <c r="E395" s="158" t="s">
        <v>1</v>
      </c>
      <c r="F395" s="158" t="s">
        <v>5</v>
      </c>
      <c r="G395" s="42"/>
      <c r="H395" s="42" t="s">
        <v>826</v>
      </c>
    </row>
    <row r="396" spans="1:8" ht="60" x14ac:dyDescent="0.25">
      <c r="A396" s="158">
        <v>61</v>
      </c>
      <c r="B396" s="178" t="s">
        <v>438</v>
      </c>
      <c r="C396" s="158" t="s">
        <v>22</v>
      </c>
      <c r="D396" s="158" t="s">
        <v>23</v>
      </c>
      <c r="E396" s="158" t="s">
        <v>3</v>
      </c>
      <c r="F396" s="158" t="s">
        <v>8</v>
      </c>
      <c r="G396" s="192" t="s">
        <v>686</v>
      </c>
      <c r="H396" s="42" t="s">
        <v>824</v>
      </c>
    </row>
    <row r="397" spans="1:8" ht="45" x14ac:dyDescent="0.25">
      <c r="A397" s="158">
        <v>61</v>
      </c>
      <c r="B397" s="178" t="s">
        <v>439</v>
      </c>
      <c r="C397" s="158" t="s">
        <v>57</v>
      </c>
      <c r="D397" s="158" t="s">
        <v>58</v>
      </c>
      <c r="E397" s="158" t="s">
        <v>59</v>
      </c>
      <c r="F397" s="158" t="s">
        <v>60</v>
      </c>
      <c r="G397" s="192" t="s">
        <v>686</v>
      </c>
      <c r="H397" s="42" t="s">
        <v>832</v>
      </c>
    </row>
    <row r="398" spans="1:8" ht="60" x14ac:dyDescent="0.25">
      <c r="A398" s="158">
        <v>61</v>
      </c>
      <c r="B398" s="178" t="s">
        <v>440</v>
      </c>
      <c r="C398" s="158" t="s">
        <v>25</v>
      </c>
      <c r="D398" s="158" t="s">
        <v>26</v>
      </c>
      <c r="E398" s="158" t="s">
        <v>212</v>
      </c>
      <c r="F398" s="158" t="s">
        <v>10</v>
      </c>
      <c r="G398" s="42"/>
      <c r="H398" s="42" t="s">
        <v>825</v>
      </c>
    </row>
    <row r="399" spans="1:8" ht="89.25" customHeight="1" x14ac:dyDescent="0.25">
      <c r="A399" s="158">
        <v>61</v>
      </c>
      <c r="B399" s="186" t="s">
        <v>441</v>
      </c>
      <c r="C399" s="180" t="s">
        <v>25</v>
      </c>
      <c r="D399" s="180" t="s">
        <v>26</v>
      </c>
      <c r="E399" s="180" t="s">
        <v>9</v>
      </c>
      <c r="F399" s="158" t="s">
        <v>10</v>
      </c>
      <c r="G399" s="42"/>
      <c r="H399" s="42" t="s">
        <v>843</v>
      </c>
    </row>
    <row r="400" spans="1:8" x14ac:dyDescent="0.25">
      <c r="A400" s="158">
        <v>61</v>
      </c>
      <c r="B400" s="186"/>
      <c r="C400" s="180"/>
      <c r="D400" s="180"/>
      <c r="E400" s="180"/>
      <c r="F400" s="158" t="s">
        <v>5</v>
      </c>
      <c r="G400" s="42"/>
      <c r="H400" s="42"/>
    </row>
    <row r="401" spans="1:8" ht="45" x14ac:dyDescent="0.25">
      <c r="A401" s="158">
        <v>61</v>
      </c>
      <c r="B401" s="178" t="s">
        <v>442</v>
      </c>
      <c r="C401" s="158" t="s">
        <v>22</v>
      </c>
      <c r="D401" s="158" t="s">
        <v>23</v>
      </c>
      <c r="E401" s="158" t="s">
        <v>3</v>
      </c>
      <c r="F401" s="158" t="s">
        <v>8</v>
      </c>
      <c r="G401" s="42"/>
      <c r="H401" s="42" t="s">
        <v>824</v>
      </c>
    </row>
    <row r="402" spans="1:8" ht="44.25" customHeight="1" x14ac:dyDescent="0.25">
      <c r="A402" s="158">
        <v>61</v>
      </c>
      <c r="B402" s="186" t="s">
        <v>443</v>
      </c>
      <c r="C402" s="180" t="s">
        <v>22</v>
      </c>
      <c r="D402" s="180" t="s">
        <v>23</v>
      </c>
      <c r="E402" s="180" t="s">
        <v>3</v>
      </c>
      <c r="F402" s="158" t="s">
        <v>7</v>
      </c>
      <c r="G402" s="42"/>
      <c r="H402" s="42" t="s">
        <v>824</v>
      </c>
    </row>
    <row r="403" spans="1:8" x14ac:dyDescent="0.25">
      <c r="A403" s="158">
        <v>61</v>
      </c>
      <c r="B403" s="186"/>
      <c r="C403" s="180"/>
      <c r="D403" s="180"/>
      <c r="E403" s="180"/>
      <c r="F403" s="158" t="s">
        <v>6</v>
      </c>
      <c r="G403" s="42"/>
      <c r="H403" s="42"/>
    </row>
    <row r="404" spans="1:8" ht="59.25" customHeight="1" x14ac:dyDescent="0.25">
      <c r="A404" s="158">
        <v>61</v>
      </c>
      <c r="B404" s="186" t="s">
        <v>444</v>
      </c>
      <c r="C404" s="180" t="s">
        <v>22</v>
      </c>
      <c r="D404" s="180" t="s">
        <v>23</v>
      </c>
      <c r="E404" s="180" t="s">
        <v>3</v>
      </c>
      <c r="F404" s="158" t="s">
        <v>8</v>
      </c>
      <c r="G404" s="42"/>
      <c r="H404" s="42" t="s">
        <v>824</v>
      </c>
    </row>
    <row r="405" spans="1:8" x14ac:dyDescent="0.25">
      <c r="A405" s="158">
        <v>61</v>
      </c>
      <c r="B405" s="186"/>
      <c r="C405" s="180"/>
      <c r="D405" s="180"/>
      <c r="E405" s="180"/>
      <c r="F405" s="158" t="s">
        <v>7</v>
      </c>
      <c r="G405" s="42"/>
      <c r="H405" s="42" t="s">
        <v>42</v>
      </c>
    </row>
    <row r="406" spans="1:8" ht="30" x14ac:dyDescent="0.25">
      <c r="A406" s="158">
        <v>61</v>
      </c>
      <c r="B406" s="178" t="s">
        <v>445</v>
      </c>
      <c r="C406" s="158" t="s">
        <v>103</v>
      </c>
      <c r="D406" s="158" t="s">
        <v>42</v>
      </c>
      <c r="E406" s="158"/>
      <c r="F406" s="158" t="s">
        <v>178</v>
      </c>
      <c r="G406" s="42"/>
      <c r="H406" s="42"/>
    </row>
    <row r="407" spans="1:8" ht="60" x14ac:dyDescent="0.25">
      <c r="A407" s="158">
        <v>61</v>
      </c>
      <c r="B407" s="178" t="s">
        <v>446</v>
      </c>
      <c r="C407" s="158" t="s">
        <v>62</v>
      </c>
      <c r="D407" s="158" t="s">
        <v>63</v>
      </c>
      <c r="E407" s="158" t="s">
        <v>699</v>
      </c>
      <c r="F407" s="158"/>
      <c r="G407" s="42"/>
      <c r="H407" s="42" t="s">
        <v>828</v>
      </c>
    </row>
    <row r="408" spans="1:8" ht="60" x14ac:dyDescent="0.25">
      <c r="A408" s="158">
        <v>61</v>
      </c>
      <c r="B408" s="178" t="s">
        <v>447</v>
      </c>
      <c r="C408" s="158" t="s">
        <v>25</v>
      </c>
      <c r="D408" s="158" t="s">
        <v>26</v>
      </c>
      <c r="E408" s="158" t="s">
        <v>27</v>
      </c>
      <c r="F408" s="158" t="s">
        <v>2</v>
      </c>
      <c r="G408" s="42"/>
      <c r="H408" s="42" t="s">
        <v>827</v>
      </c>
    </row>
    <row r="409" spans="1:8" ht="45" x14ac:dyDescent="0.25">
      <c r="A409" s="158">
        <v>61</v>
      </c>
      <c r="B409" s="178" t="s">
        <v>448</v>
      </c>
      <c r="C409" s="158" t="s">
        <v>51</v>
      </c>
      <c r="D409" s="158" t="s">
        <v>33</v>
      </c>
      <c r="E409" s="158" t="s">
        <v>12</v>
      </c>
      <c r="F409" s="158"/>
      <c r="G409" s="158" t="s">
        <v>684</v>
      </c>
      <c r="H409" s="42" t="s">
        <v>831</v>
      </c>
    </row>
    <row r="410" spans="1:8" ht="45" x14ac:dyDescent="0.25">
      <c r="A410" s="158">
        <v>61</v>
      </c>
      <c r="B410" s="178" t="s">
        <v>449</v>
      </c>
      <c r="C410" s="158"/>
      <c r="D410" s="158" t="s">
        <v>45</v>
      </c>
      <c r="E410" s="158" t="s">
        <v>496</v>
      </c>
      <c r="F410" s="158"/>
      <c r="G410" s="160" t="s">
        <v>690</v>
      </c>
      <c r="H410" s="42"/>
    </row>
    <row r="411" spans="1:8" ht="60" x14ac:dyDescent="0.25">
      <c r="A411" s="158">
        <v>61</v>
      </c>
      <c r="B411" s="178" t="s">
        <v>450</v>
      </c>
      <c r="C411" s="158" t="s">
        <v>25</v>
      </c>
      <c r="D411" s="158" t="s">
        <v>26</v>
      </c>
      <c r="E411" s="158" t="s">
        <v>27</v>
      </c>
      <c r="F411" s="158" t="s">
        <v>5</v>
      </c>
      <c r="G411" s="42"/>
      <c r="H411" s="42" t="s">
        <v>825</v>
      </c>
    </row>
    <row r="412" spans="1:8" ht="60" x14ac:dyDescent="0.25">
      <c r="A412" s="158">
        <v>61</v>
      </c>
      <c r="B412" s="178" t="s">
        <v>451</v>
      </c>
      <c r="C412" s="158" t="s">
        <v>22</v>
      </c>
      <c r="D412" s="158" t="s">
        <v>33</v>
      </c>
      <c r="E412" s="158" t="s">
        <v>699</v>
      </c>
      <c r="F412" s="158"/>
      <c r="G412" s="42"/>
      <c r="H412" s="42" t="s">
        <v>828</v>
      </c>
    </row>
    <row r="413" spans="1:8" ht="66.75" x14ac:dyDescent="0.25">
      <c r="A413" s="158">
        <v>61</v>
      </c>
      <c r="B413" s="178" t="s">
        <v>452</v>
      </c>
      <c r="C413" s="158" t="s">
        <v>400</v>
      </c>
      <c r="D413" s="158" t="s">
        <v>453</v>
      </c>
      <c r="E413" s="158" t="s">
        <v>698</v>
      </c>
      <c r="F413" s="158"/>
      <c r="G413" s="42"/>
      <c r="H413" s="42" t="s">
        <v>828</v>
      </c>
    </row>
    <row r="414" spans="1:8" ht="45" x14ac:dyDescent="0.25">
      <c r="A414" s="158">
        <v>61</v>
      </c>
      <c r="B414" s="178" t="s">
        <v>454</v>
      </c>
      <c r="C414" s="158"/>
      <c r="D414" s="158" t="s">
        <v>68</v>
      </c>
      <c r="E414" s="158" t="s">
        <v>739</v>
      </c>
      <c r="F414" s="158"/>
      <c r="G414" s="160" t="s">
        <v>688</v>
      </c>
      <c r="H414" s="42"/>
    </row>
    <row r="415" spans="1:8" ht="30" x14ac:dyDescent="0.25">
      <c r="A415" s="158">
        <v>61</v>
      </c>
      <c r="B415" s="178" t="s">
        <v>455</v>
      </c>
      <c r="C415" s="158"/>
      <c r="D415" s="158" t="s">
        <v>68</v>
      </c>
      <c r="E415" s="158" t="s">
        <v>744</v>
      </c>
      <c r="F415" s="158"/>
      <c r="G415" s="160" t="s">
        <v>688</v>
      </c>
      <c r="H415" s="42"/>
    </row>
    <row r="416" spans="1:8" ht="60" x14ac:dyDescent="0.25">
      <c r="A416" s="158">
        <v>61</v>
      </c>
      <c r="B416" s="178" t="s">
        <v>456</v>
      </c>
      <c r="C416" s="158" t="s">
        <v>22</v>
      </c>
      <c r="D416" s="158" t="s">
        <v>33</v>
      </c>
      <c r="E416" s="158" t="s">
        <v>699</v>
      </c>
      <c r="F416" s="158"/>
      <c r="G416" s="42"/>
      <c r="H416" s="42" t="s">
        <v>828</v>
      </c>
    </row>
    <row r="417" spans="1:8" ht="30" x14ac:dyDescent="0.25">
      <c r="A417" s="158">
        <v>62</v>
      </c>
      <c r="B417" s="178" t="s">
        <v>457</v>
      </c>
      <c r="C417" s="158" t="s">
        <v>25</v>
      </c>
      <c r="D417" s="158" t="s">
        <v>26</v>
      </c>
      <c r="E417" s="158" t="s">
        <v>1</v>
      </c>
      <c r="F417" s="158" t="s">
        <v>5</v>
      </c>
      <c r="G417" s="42"/>
      <c r="H417" s="42" t="s">
        <v>827</v>
      </c>
    </row>
    <row r="418" spans="1:8" ht="30" x14ac:dyDescent="0.25">
      <c r="A418" s="158">
        <v>62</v>
      </c>
      <c r="B418" s="182" t="s">
        <v>458</v>
      </c>
      <c r="C418" s="158" t="s">
        <v>25</v>
      </c>
      <c r="D418" s="158" t="s">
        <v>26</v>
      </c>
      <c r="E418" s="158" t="s">
        <v>11</v>
      </c>
      <c r="F418" s="158" t="s">
        <v>10</v>
      </c>
      <c r="G418" s="42"/>
      <c r="H418" s="42" t="s">
        <v>827</v>
      </c>
    </row>
    <row r="419" spans="1:8" ht="45" x14ac:dyDescent="0.25">
      <c r="A419" s="158">
        <v>62</v>
      </c>
      <c r="B419" s="182" t="s">
        <v>459</v>
      </c>
      <c r="C419" s="158" t="s">
        <v>25</v>
      </c>
      <c r="D419" s="158" t="s">
        <v>26</v>
      </c>
      <c r="E419" s="158" t="s">
        <v>9</v>
      </c>
      <c r="F419" s="158" t="s">
        <v>5</v>
      </c>
      <c r="G419" s="158" t="s">
        <v>722</v>
      </c>
      <c r="H419" s="158" t="s">
        <v>833</v>
      </c>
    </row>
    <row r="420" spans="1:8" ht="30" x14ac:dyDescent="0.25">
      <c r="A420" s="158">
        <v>62</v>
      </c>
      <c r="B420" s="178" t="s">
        <v>460</v>
      </c>
      <c r="C420" s="158" t="s">
        <v>25</v>
      </c>
      <c r="D420" s="158" t="s">
        <v>26</v>
      </c>
      <c r="E420" s="158" t="s">
        <v>1</v>
      </c>
      <c r="F420" s="158" t="s">
        <v>5</v>
      </c>
      <c r="G420" s="42"/>
      <c r="H420" s="42" t="s">
        <v>826</v>
      </c>
    </row>
    <row r="421" spans="1:8" ht="30" x14ac:dyDescent="0.25">
      <c r="A421" s="158">
        <v>62</v>
      </c>
      <c r="B421" s="178" t="s">
        <v>461</v>
      </c>
      <c r="C421" s="158" t="s">
        <v>25</v>
      </c>
      <c r="D421" s="158" t="s">
        <v>26</v>
      </c>
      <c r="E421" s="158" t="s">
        <v>4</v>
      </c>
      <c r="F421" s="158"/>
      <c r="G421" s="42"/>
      <c r="H421" s="42" t="s">
        <v>827</v>
      </c>
    </row>
    <row r="422" spans="1:8" ht="30" x14ac:dyDescent="0.25">
      <c r="A422" s="158">
        <v>62</v>
      </c>
      <c r="B422" s="178" t="s">
        <v>462</v>
      </c>
      <c r="C422" s="158" t="s">
        <v>25</v>
      </c>
      <c r="D422" s="158" t="s">
        <v>26</v>
      </c>
      <c r="E422" s="158" t="s">
        <v>27</v>
      </c>
      <c r="F422" s="158" t="s">
        <v>10</v>
      </c>
      <c r="G422" s="42"/>
      <c r="H422" s="42" t="s">
        <v>827</v>
      </c>
    </row>
    <row r="423" spans="1:8" ht="30" x14ac:dyDescent="0.25">
      <c r="A423" s="158">
        <v>62</v>
      </c>
      <c r="B423" s="178" t="s">
        <v>463</v>
      </c>
      <c r="C423" s="158" t="s">
        <v>36</v>
      </c>
      <c r="D423" s="158" t="s">
        <v>453</v>
      </c>
      <c r="E423" s="158" t="s">
        <v>698</v>
      </c>
      <c r="F423" s="158"/>
      <c r="G423" s="42"/>
      <c r="H423" s="42" t="s">
        <v>828</v>
      </c>
    </row>
    <row r="424" spans="1:8" ht="30" x14ac:dyDescent="0.25">
      <c r="A424" s="158">
        <v>62</v>
      </c>
      <c r="B424" s="158" t="s">
        <v>464</v>
      </c>
      <c r="C424" s="158" t="s">
        <v>149</v>
      </c>
      <c r="D424" s="158" t="s">
        <v>23</v>
      </c>
      <c r="E424" s="158" t="s">
        <v>0</v>
      </c>
      <c r="F424" s="158"/>
      <c r="G424" s="42"/>
      <c r="H424" s="42" t="s">
        <v>831</v>
      </c>
    </row>
    <row r="425" spans="1:8" ht="30" x14ac:dyDescent="0.25">
      <c r="A425" s="158">
        <v>62</v>
      </c>
      <c r="B425" s="158" t="s">
        <v>465</v>
      </c>
      <c r="C425" s="158"/>
      <c r="D425" s="158" t="s">
        <v>68</v>
      </c>
      <c r="E425" s="158" t="s">
        <v>742</v>
      </c>
      <c r="F425" s="158" t="s">
        <v>743</v>
      </c>
      <c r="G425" s="158" t="s">
        <v>688</v>
      </c>
      <c r="H425" s="42"/>
    </row>
    <row r="426" spans="1:8" ht="60" x14ac:dyDescent="0.25">
      <c r="A426" s="158">
        <v>62</v>
      </c>
      <c r="B426" s="158" t="s">
        <v>466</v>
      </c>
      <c r="C426" s="158"/>
      <c r="D426" s="158" t="s">
        <v>68</v>
      </c>
      <c r="E426" s="158" t="s">
        <v>742</v>
      </c>
      <c r="F426" s="158" t="s">
        <v>747</v>
      </c>
      <c r="G426" s="158" t="s">
        <v>691</v>
      </c>
      <c r="H426" s="42"/>
    </row>
    <row r="427" spans="1:8" ht="120" x14ac:dyDescent="0.25">
      <c r="A427" s="158">
        <v>63</v>
      </c>
      <c r="B427" s="158" t="s">
        <v>467</v>
      </c>
      <c r="C427" s="158" t="s">
        <v>25</v>
      </c>
      <c r="D427" s="158" t="s">
        <v>26</v>
      </c>
      <c r="E427" s="158" t="s">
        <v>9</v>
      </c>
      <c r="F427" s="158" t="s">
        <v>5</v>
      </c>
      <c r="G427" s="42"/>
      <c r="H427" s="42" t="s">
        <v>825</v>
      </c>
    </row>
    <row r="428" spans="1:8" ht="60" x14ac:dyDescent="0.25">
      <c r="A428" s="158">
        <v>63</v>
      </c>
      <c r="B428" s="158" t="s">
        <v>468</v>
      </c>
      <c r="C428" s="158" t="s">
        <v>62</v>
      </c>
      <c r="D428" s="158" t="s">
        <v>63</v>
      </c>
      <c r="E428" s="158" t="s">
        <v>699</v>
      </c>
      <c r="F428" s="158"/>
      <c r="G428" s="42"/>
      <c r="H428" s="42" t="s">
        <v>828</v>
      </c>
    </row>
    <row r="429" spans="1:8" ht="45" x14ac:dyDescent="0.25">
      <c r="A429" s="158">
        <v>63</v>
      </c>
      <c r="B429" s="158" t="s">
        <v>469</v>
      </c>
      <c r="C429" s="158" t="s">
        <v>470</v>
      </c>
      <c r="D429" s="158" t="s">
        <v>26</v>
      </c>
      <c r="E429" s="158" t="s">
        <v>11</v>
      </c>
      <c r="F429" s="158" t="s">
        <v>10</v>
      </c>
      <c r="G429" s="42"/>
      <c r="H429" s="42" t="s">
        <v>848</v>
      </c>
    </row>
    <row r="430" spans="1:8" ht="30" x14ac:dyDescent="0.25">
      <c r="A430" s="158">
        <v>63</v>
      </c>
      <c r="B430" s="158" t="s">
        <v>471</v>
      </c>
      <c r="C430" s="158"/>
      <c r="D430" s="158" t="s">
        <v>53</v>
      </c>
      <c r="E430" s="158"/>
      <c r="F430" s="158" t="s">
        <v>738</v>
      </c>
      <c r="G430" s="158" t="s">
        <v>689</v>
      </c>
      <c r="H430" s="42"/>
    </row>
    <row r="431" spans="1:8" ht="30" x14ac:dyDescent="0.25">
      <c r="A431" s="158">
        <v>63</v>
      </c>
      <c r="B431" s="158" t="s">
        <v>472</v>
      </c>
      <c r="C431" s="158"/>
      <c r="D431" s="158" t="s">
        <v>68</v>
      </c>
      <c r="E431" s="158" t="s">
        <v>739</v>
      </c>
      <c r="F431" s="158"/>
      <c r="G431" s="158" t="s">
        <v>689</v>
      </c>
      <c r="H431" s="42"/>
    </row>
    <row r="432" spans="1:8" ht="45" x14ac:dyDescent="0.25">
      <c r="A432" s="158">
        <v>63</v>
      </c>
      <c r="B432" s="158" t="s">
        <v>473</v>
      </c>
      <c r="C432" s="158" t="s">
        <v>25</v>
      </c>
      <c r="D432" s="158" t="s">
        <v>26</v>
      </c>
      <c r="E432" s="158" t="s">
        <v>11</v>
      </c>
      <c r="F432" s="158" t="s">
        <v>10</v>
      </c>
      <c r="G432" s="42"/>
      <c r="H432" s="42" t="s">
        <v>827</v>
      </c>
    </row>
    <row r="433" spans="1:8" ht="60" x14ac:dyDescent="0.25">
      <c r="A433" s="158">
        <v>63</v>
      </c>
      <c r="B433" s="158" t="s">
        <v>474</v>
      </c>
      <c r="C433" s="158" t="s">
        <v>62</v>
      </c>
      <c r="D433" s="158" t="s">
        <v>63</v>
      </c>
      <c r="E433" s="158" t="s">
        <v>699</v>
      </c>
      <c r="F433" s="158"/>
      <c r="G433" s="42"/>
      <c r="H433" s="42" t="s">
        <v>828</v>
      </c>
    </row>
    <row r="434" spans="1:8" ht="30" x14ac:dyDescent="0.25">
      <c r="A434" s="158">
        <v>63</v>
      </c>
      <c r="B434" s="158" t="s">
        <v>475</v>
      </c>
      <c r="C434" s="158" t="s">
        <v>51</v>
      </c>
      <c r="D434" s="158" t="s">
        <v>23</v>
      </c>
      <c r="E434" s="158" t="s">
        <v>14</v>
      </c>
      <c r="F434" s="158"/>
      <c r="G434" s="42"/>
      <c r="H434" s="42" t="s">
        <v>836</v>
      </c>
    </row>
    <row r="435" spans="1:8" ht="45" x14ac:dyDescent="0.25">
      <c r="A435" s="158">
        <v>63</v>
      </c>
      <c r="B435" s="158" t="s">
        <v>723</v>
      </c>
      <c r="C435" s="158" t="s">
        <v>25</v>
      </c>
      <c r="D435" s="158" t="s">
        <v>26</v>
      </c>
      <c r="E435" s="158" t="s">
        <v>27</v>
      </c>
      <c r="F435" s="158" t="s">
        <v>10</v>
      </c>
      <c r="G435" s="158" t="s">
        <v>722</v>
      </c>
      <c r="H435" s="158" t="s">
        <v>833</v>
      </c>
    </row>
    <row r="436" spans="1:8" ht="30" x14ac:dyDescent="0.25">
      <c r="A436" s="158">
        <v>63</v>
      </c>
      <c r="B436" s="158" t="s">
        <v>476</v>
      </c>
      <c r="C436" s="158"/>
      <c r="D436" s="158" t="s">
        <v>68</v>
      </c>
      <c r="E436" s="158" t="s">
        <v>744</v>
      </c>
      <c r="F436" s="158"/>
      <c r="G436" s="160" t="s">
        <v>688</v>
      </c>
      <c r="H436" s="42"/>
    </row>
    <row r="437" spans="1:8" ht="45" x14ac:dyDescent="0.25">
      <c r="A437" s="158">
        <v>63</v>
      </c>
      <c r="B437" s="158" t="s">
        <v>724</v>
      </c>
      <c r="C437" s="158" t="s">
        <v>25</v>
      </c>
      <c r="D437" s="158" t="s">
        <v>26</v>
      </c>
      <c r="E437" s="158" t="s">
        <v>4</v>
      </c>
      <c r="F437" s="158"/>
      <c r="G437" s="160" t="s">
        <v>722</v>
      </c>
      <c r="H437" s="42" t="s">
        <v>833</v>
      </c>
    </row>
    <row r="438" spans="1:8" ht="105" x14ac:dyDescent="0.25">
      <c r="A438" s="158">
        <v>63</v>
      </c>
      <c r="B438" s="158" t="s">
        <v>477</v>
      </c>
      <c r="C438" s="158" t="s">
        <v>25</v>
      </c>
      <c r="D438" s="158" t="s">
        <v>26</v>
      </c>
      <c r="E438" s="158" t="s">
        <v>27</v>
      </c>
      <c r="F438" s="158" t="s">
        <v>5</v>
      </c>
      <c r="G438" s="42"/>
      <c r="H438" s="42" t="s">
        <v>825</v>
      </c>
    </row>
    <row r="439" spans="1:8" ht="30" x14ac:dyDescent="0.25">
      <c r="A439" s="158">
        <v>63</v>
      </c>
      <c r="B439" s="158" t="s">
        <v>478</v>
      </c>
      <c r="C439" s="158" t="s">
        <v>57</v>
      </c>
      <c r="D439" s="158" t="s">
        <v>58</v>
      </c>
      <c r="E439" s="158" t="s">
        <v>59</v>
      </c>
      <c r="F439" s="158" t="s">
        <v>60</v>
      </c>
      <c r="G439" s="42"/>
      <c r="H439" s="42" t="s">
        <v>835</v>
      </c>
    </row>
    <row r="440" spans="1:8" ht="45" x14ac:dyDescent="0.25">
      <c r="A440" s="158">
        <v>63</v>
      </c>
      <c r="B440" s="158" t="s">
        <v>712</v>
      </c>
      <c r="C440" s="158" t="s">
        <v>22</v>
      </c>
      <c r="D440" s="158" t="s">
        <v>706</v>
      </c>
      <c r="E440" s="158"/>
      <c r="F440" s="158" t="s">
        <v>54</v>
      </c>
      <c r="G440" s="158" t="s">
        <v>715</v>
      </c>
      <c r="H440" s="42" t="s">
        <v>829</v>
      </c>
    </row>
    <row r="441" spans="1:8" ht="60" x14ac:dyDescent="0.25">
      <c r="A441" s="158">
        <v>63</v>
      </c>
      <c r="B441" s="158" t="s">
        <v>711</v>
      </c>
      <c r="C441" s="158" t="s">
        <v>22</v>
      </c>
      <c r="D441" s="158" t="s">
        <v>33</v>
      </c>
      <c r="E441" s="158" t="s">
        <v>699</v>
      </c>
      <c r="F441" s="158"/>
      <c r="G441" s="158"/>
      <c r="H441" s="42" t="s">
        <v>828</v>
      </c>
    </row>
    <row r="442" spans="1:8" ht="135" x14ac:dyDescent="0.25">
      <c r="A442" s="158">
        <v>63</v>
      </c>
      <c r="B442" s="178" t="s">
        <v>479</v>
      </c>
      <c r="C442" s="158" t="s">
        <v>36</v>
      </c>
      <c r="D442" s="158" t="s">
        <v>37</v>
      </c>
      <c r="E442" s="158" t="s">
        <v>38</v>
      </c>
      <c r="F442" s="158" t="s">
        <v>39</v>
      </c>
      <c r="G442" s="42"/>
      <c r="H442" s="42" t="s">
        <v>824</v>
      </c>
    </row>
    <row r="443" spans="1:8" ht="30" x14ac:dyDescent="0.25">
      <c r="A443" s="158">
        <v>63</v>
      </c>
      <c r="B443" s="178" t="s">
        <v>480</v>
      </c>
      <c r="C443" s="158" t="s">
        <v>22</v>
      </c>
      <c r="D443" s="158" t="s">
        <v>33</v>
      </c>
      <c r="E443" s="158" t="s">
        <v>698</v>
      </c>
      <c r="F443" s="158"/>
      <c r="G443" s="42"/>
      <c r="H443" s="42" t="s">
        <v>857</v>
      </c>
    </row>
    <row r="444" spans="1:8" ht="30" x14ac:dyDescent="0.25">
      <c r="A444" s="158">
        <v>63</v>
      </c>
      <c r="B444" s="178" t="s">
        <v>481</v>
      </c>
      <c r="C444" s="158" t="s">
        <v>47</v>
      </c>
      <c r="D444" s="158" t="s">
        <v>48</v>
      </c>
      <c r="E444" s="158" t="s">
        <v>49</v>
      </c>
      <c r="F444" s="158"/>
      <c r="G444" s="42"/>
      <c r="H444" s="42" t="s">
        <v>830</v>
      </c>
    </row>
    <row r="445" spans="1:8" ht="45" x14ac:dyDescent="0.25">
      <c r="A445" s="158">
        <v>63</v>
      </c>
      <c r="B445" s="178" t="s">
        <v>482</v>
      </c>
      <c r="C445" s="158" t="s">
        <v>25</v>
      </c>
      <c r="D445" s="158" t="s">
        <v>26</v>
      </c>
      <c r="E445" s="158" t="s">
        <v>27</v>
      </c>
      <c r="F445" s="158" t="s">
        <v>5</v>
      </c>
      <c r="G445" s="158" t="s">
        <v>722</v>
      </c>
      <c r="H445" s="158" t="s">
        <v>833</v>
      </c>
    </row>
    <row r="446" spans="1:8" ht="60" x14ac:dyDescent="0.25">
      <c r="A446" s="158">
        <v>63</v>
      </c>
      <c r="B446" s="178" t="s">
        <v>483</v>
      </c>
      <c r="C446" s="158" t="s">
        <v>62</v>
      </c>
      <c r="D446" s="158" t="s">
        <v>63</v>
      </c>
      <c r="E446" s="158" t="s">
        <v>699</v>
      </c>
      <c r="F446" s="158"/>
      <c r="G446" s="42"/>
      <c r="H446" s="42" t="s">
        <v>828</v>
      </c>
    </row>
    <row r="447" spans="1:8" ht="30" x14ac:dyDescent="0.25">
      <c r="A447" s="158">
        <v>63</v>
      </c>
      <c r="B447" s="178" t="s">
        <v>484</v>
      </c>
      <c r="C447" s="158" t="s">
        <v>47</v>
      </c>
      <c r="D447" s="158" t="s">
        <v>48</v>
      </c>
      <c r="E447" s="158" t="s">
        <v>49</v>
      </c>
      <c r="F447" s="158"/>
      <c r="G447" s="42"/>
      <c r="H447" s="42" t="s">
        <v>844</v>
      </c>
    </row>
    <row r="448" spans="1:8" ht="45" x14ac:dyDescent="0.25">
      <c r="A448" s="158">
        <v>63</v>
      </c>
      <c r="B448" s="158" t="s">
        <v>485</v>
      </c>
      <c r="C448" s="158" t="s">
        <v>25</v>
      </c>
      <c r="D448" s="158" t="s">
        <v>26</v>
      </c>
      <c r="E448" s="158" t="s">
        <v>11</v>
      </c>
      <c r="F448" s="158" t="s">
        <v>5</v>
      </c>
      <c r="G448" s="42"/>
      <c r="H448" s="42" t="s">
        <v>825</v>
      </c>
    </row>
    <row r="449" spans="1:8" ht="45" x14ac:dyDescent="0.25">
      <c r="A449" s="158">
        <v>64</v>
      </c>
      <c r="B449" s="158" t="s">
        <v>486</v>
      </c>
      <c r="C449" s="158" t="s">
        <v>25</v>
      </c>
      <c r="D449" s="158" t="s">
        <v>26</v>
      </c>
      <c r="E449" s="158" t="s">
        <v>212</v>
      </c>
      <c r="F449" s="158" t="s">
        <v>10</v>
      </c>
      <c r="G449" s="158" t="s">
        <v>720</v>
      </c>
      <c r="H449" s="42" t="s">
        <v>841</v>
      </c>
    </row>
    <row r="450" spans="1:8" ht="30" x14ac:dyDescent="0.25">
      <c r="A450" s="158">
        <v>64</v>
      </c>
      <c r="B450" s="158" t="s">
        <v>487</v>
      </c>
      <c r="C450" s="158" t="s">
        <v>25</v>
      </c>
      <c r="D450" s="158" t="s">
        <v>26</v>
      </c>
      <c r="E450" s="158" t="s">
        <v>9</v>
      </c>
      <c r="F450" s="158" t="s">
        <v>10</v>
      </c>
      <c r="G450" s="42"/>
      <c r="H450" s="42" t="s">
        <v>826</v>
      </c>
    </row>
    <row r="451" spans="1:8" x14ac:dyDescent="0.25">
      <c r="A451" s="158">
        <v>64</v>
      </c>
      <c r="B451" s="158" t="s">
        <v>488</v>
      </c>
      <c r="C451" s="158" t="s">
        <v>25</v>
      </c>
      <c r="D451" s="158" t="s">
        <v>26</v>
      </c>
      <c r="E451" s="158" t="s">
        <v>1</v>
      </c>
      <c r="F451" s="158" t="s">
        <v>2</v>
      </c>
      <c r="G451" s="42"/>
      <c r="H451" s="42" t="s">
        <v>825</v>
      </c>
    </row>
    <row r="452" spans="1:8" ht="120" x14ac:dyDescent="0.25">
      <c r="A452" s="158">
        <v>64</v>
      </c>
      <c r="B452" s="158" t="s">
        <v>489</v>
      </c>
      <c r="C452" s="158" t="s">
        <v>25</v>
      </c>
      <c r="D452" s="158" t="s">
        <v>26</v>
      </c>
      <c r="E452" s="158" t="s">
        <v>27</v>
      </c>
      <c r="F452" s="158" t="s">
        <v>5</v>
      </c>
      <c r="G452" s="158" t="s">
        <v>722</v>
      </c>
      <c r="H452" s="158" t="s">
        <v>833</v>
      </c>
    </row>
    <row r="453" spans="1:8" ht="45" x14ac:dyDescent="0.25">
      <c r="A453" s="158">
        <v>64</v>
      </c>
      <c r="B453" s="158" t="s">
        <v>490</v>
      </c>
      <c r="C453" s="158" t="s">
        <v>22</v>
      </c>
      <c r="D453" s="158" t="s">
        <v>23</v>
      </c>
      <c r="E453" s="158" t="s">
        <v>13</v>
      </c>
      <c r="F453" s="158" t="s">
        <v>8</v>
      </c>
      <c r="G453" s="42"/>
      <c r="H453" s="42" t="s">
        <v>824</v>
      </c>
    </row>
    <row r="454" spans="1:8" ht="30" x14ac:dyDescent="0.25">
      <c r="A454" s="158">
        <v>64</v>
      </c>
      <c r="B454" s="158" t="s">
        <v>491</v>
      </c>
      <c r="C454" s="158" t="s">
        <v>25</v>
      </c>
      <c r="D454" s="158" t="s">
        <v>26</v>
      </c>
      <c r="E454" s="158" t="s">
        <v>1</v>
      </c>
      <c r="F454" s="158" t="s">
        <v>2</v>
      </c>
      <c r="G454" s="42"/>
      <c r="H454" s="42" t="s">
        <v>825</v>
      </c>
    </row>
    <row r="455" spans="1:8" ht="105" x14ac:dyDescent="0.25">
      <c r="A455" s="158">
        <v>64</v>
      </c>
      <c r="B455" s="158" t="s">
        <v>492</v>
      </c>
      <c r="C455" s="158" t="s">
        <v>25</v>
      </c>
      <c r="D455" s="158" t="s">
        <v>26</v>
      </c>
      <c r="E455" s="158" t="s">
        <v>27</v>
      </c>
      <c r="F455" s="158" t="s">
        <v>5</v>
      </c>
      <c r="G455" s="42"/>
      <c r="H455" s="42" t="s">
        <v>826</v>
      </c>
    </row>
    <row r="456" spans="1:8" ht="45" x14ac:dyDescent="0.25">
      <c r="A456" s="158">
        <v>64</v>
      </c>
      <c r="B456" s="158" t="s">
        <v>493</v>
      </c>
      <c r="C456" s="158" t="s">
        <v>25</v>
      </c>
      <c r="D456" s="158" t="s">
        <v>26</v>
      </c>
      <c r="E456" s="158" t="s">
        <v>1</v>
      </c>
      <c r="F456" s="158" t="s">
        <v>5</v>
      </c>
      <c r="G456" s="42"/>
      <c r="H456" s="42" t="s">
        <v>826</v>
      </c>
    </row>
    <row r="457" spans="1:8" ht="45" x14ac:dyDescent="0.25">
      <c r="A457" s="158">
        <v>64</v>
      </c>
      <c r="B457" s="178" t="s">
        <v>494</v>
      </c>
      <c r="C457" s="158" t="s">
        <v>82</v>
      </c>
      <c r="D457" s="158" t="s">
        <v>26</v>
      </c>
      <c r="E457" s="158" t="s">
        <v>27</v>
      </c>
      <c r="F457" s="158" t="s">
        <v>5</v>
      </c>
      <c r="G457" s="42"/>
      <c r="H457" s="42" t="s">
        <v>825</v>
      </c>
    </row>
    <row r="458" spans="1:8" ht="30" x14ac:dyDescent="0.25">
      <c r="A458" s="158">
        <v>64</v>
      </c>
      <c r="B458" s="178" t="s">
        <v>495</v>
      </c>
      <c r="C458" s="158"/>
      <c r="D458" s="158" t="s">
        <v>45</v>
      </c>
      <c r="E458" s="158" t="s">
        <v>496</v>
      </c>
      <c r="F458" s="158"/>
      <c r="G458" s="160" t="s">
        <v>689</v>
      </c>
      <c r="H458" s="42"/>
    </row>
    <row r="459" spans="1:8" ht="107.25" x14ac:dyDescent="0.25">
      <c r="A459" s="158">
        <v>64</v>
      </c>
      <c r="B459" s="178" t="s">
        <v>497</v>
      </c>
      <c r="C459" s="158" t="s">
        <v>22</v>
      </c>
      <c r="D459" s="158" t="s">
        <v>33</v>
      </c>
      <c r="E459" s="158" t="s">
        <v>699</v>
      </c>
      <c r="F459" s="158"/>
      <c r="G459" s="42"/>
      <c r="H459" s="42" t="s">
        <v>828</v>
      </c>
    </row>
    <row r="460" spans="1:8" ht="30" x14ac:dyDescent="0.25">
      <c r="A460" s="158">
        <v>65</v>
      </c>
      <c r="B460" s="178" t="s">
        <v>498</v>
      </c>
      <c r="C460" s="158" t="s">
        <v>25</v>
      </c>
      <c r="D460" s="158" t="s">
        <v>26</v>
      </c>
      <c r="E460" s="158" t="s">
        <v>1</v>
      </c>
      <c r="F460" s="158" t="s">
        <v>5</v>
      </c>
      <c r="G460" s="42"/>
      <c r="H460" s="42" t="s">
        <v>848</v>
      </c>
    </row>
    <row r="461" spans="1:8" ht="30" x14ac:dyDescent="0.25">
      <c r="A461" s="158">
        <v>65</v>
      </c>
      <c r="B461" s="178" t="s">
        <v>499</v>
      </c>
      <c r="C461" s="158" t="s">
        <v>51</v>
      </c>
      <c r="D461" s="158" t="s">
        <v>33</v>
      </c>
      <c r="E461" s="158" t="s">
        <v>12</v>
      </c>
      <c r="F461" s="158"/>
      <c r="G461" s="42"/>
      <c r="H461" s="42" t="s">
        <v>828</v>
      </c>
    </row>
    <row r="462" spans="1:8" ht="30" x14ac:dyDescent="0.25">
      <c r="A462" s="158">
        <v>65</v>
      </c>
      <c r="B462" s="178" t="s">
        <v>500</v>
      </c>
      <c r="C462" s="158"/>
      <c r="D462" s="158" t="s">
        <v>68</v>
      </c>
      <c r="E462" s="158" t="s">
        <v>739</v>
      </c>
      <c r="F462" s="158"/>
      <c r="G462" s="160" t="s">
        <v>688</v>
      </c>
      <c r="H462" s="42"/>
    </row>
    <row r="463" spans="1:8" ht="77.25" x14ac:dyDescent="0.25">
      <c r="A463" s="158">
        <v>65</v>
      </c>
      <c r="B463" s="178" t="s">
        <v>501</v>
      </c>
      <c r="C463" s="158" t="s">
        <v>25</v>
      </c>
      <c r="D463" s="158" t="s">
        <v>26</v>
      </c>
      <c r="E463" s="158" t="s">
        <v>27</v>
      </c>
      <c r="F463" s="158" t="s">
        <v>5</v>
      </c>
      <c r="G463" s="42"/>
      <c r="H463" s="42" t="s">
        <v>825</v>
      </c>
    </row>
    <row r="464" spans="1:8" ht="45" x14ac:dyDescent="0.25">
      <c r="A464" s="158">
        <v>65</v>
      </c>
      <c r="B464" s="158" t="s">
        <v>502</v>
      </c>
      <c r="C464" s="158" t="s">
        <v>25</v>
      </c>
      <c r="D464" s="158" t="s">
        <v>26</v>
      </c>
      <c r="E464" s="158" t="s">
        <v>11</v>
      </c>
      <c r="F464" s="158" t="s">
        <v>10</v>
      </c>
      <c r="G464" s="42"/>
      <c r="H464" s="42" t="s">
        <v>826</v>
      </c>
    </row>
    <row r="465" spans="1:8" ht="60" x14ac:dyDescent="0.25">
      <c r="A465" s="158">
        <v>66</v>
      </c>
      <c r="B465" s="178" t="s">
        <v>503</v>
      </c>
      <c r="C465" s="158" t="s">
        <v>62</v>
      </c>
      <c r="D465" s="158" t="s">
        <v>63</v>
      </c>
      <c r="E465" s="158" t="s">
        <v>699</v>
      </c>
      <c r="F465" s="158"/>
      <c r="G465" s="42"/>
      <c r="H465" s="42" t="s">
        <v>828</v>
      </c>
    </row>
    <row r="466" spans="1:8" ht="60" x14ac:dyDescent="0.25">
      <c r="A466" s="158">
        <v>66</v>
      </c>
      <c r="B466" s="178" t="s">
        <v>504</v>
      </c>
      <c r="C466" s="158" t="s">
        <v>47</v>
      </c>
      <c r="D466" s="158" t="s">
        <v>48</v>
      </c>
      <c r="E466" s="158" t="s">
        <v>49</v>
      </c>
      <c r="F466" s="158"/>
      <c r="G466" s="42"/>
      <c r="H466" s="42" t="s">
        <v>830</v>
      </c>
    </row>
    <row r="467" spans="1:8" ht="45" x14ac:dyDescent="0.25">
      <c r="A467" s="158">
        <v>66</v>
      </c>
      <c r="B467" s="178" t="s">
        <v>505</v>
      </c>
      <c r="C467" s="158" t="s">
        <v>149</v>
      </c>
      <c r="D467" s="158" t="s">
        <v>706</v>
      </c>
      <c r="E467" s="158"/>
      <c r="F467" s="158" t="s">
        <v>54</v>
      </c>
      <c r="G467" s="158" t="s">
        <v>730</v>
      </c>
      <c r="H467" s="42" t="s">
        <v>829</v>
      </c>
    </row>
    <row r="468" spans="1:8" ht="45" x14ac:dyDescent="0.25">
      <c r="A468" s="158">
        <v>66</v>
      </c>
      <c r="B468" s="178" t="s">
        <v>506</v>
      </c>
      <c r="C468" s="158"/>
      <c r="D468" s="158" t="s">
        <v>68</v>
      </c>
      <c r="E468" s="158" t="s">
        <v>739</v>
      </c>
      <c r="F468" s="158"/>
      <c r="G468" s="160" t="s">
        <v>732</v>
      </c>
      <c r="H468" s="42"/>
    </row>
    <row r="469" spans="1:8" ht="45" x14ac:dyDescent="0.25">
      <c r="A469" s="158">
        <v>66</v>
      </c>
      <c r="B469" s="178" t="s">
        <v>507</v>
      </c>
      <c r="C469" s="158"/>
      <c r="D469" s="158" t="s">
        <v>68</v>
      </c>
      <c r="E469" s="158" t="s">
        <v>748</v>
      </c>
      <c r="F469" s="158"/>
      <c r="G469" s="160" t="s">
        <v>732</v>
      </c>
      <c r="H469" s="42"/>
    </row>
    <row r="470" spans="1:8" ht="34.5" x14ac:dyDescent="0.25">
      <c r="A470" s="158">
        <v>66</v>
      </c>
      <c r="B470" s="191" t="s">
        <v>508</v>
      </c>
      <c r="C470" s="158" t="s">
        <v>509</v>
      </c>
      <c r="D470" s="158" t="s">
        <v>304</v>
      </c>
      <c r="E470" s="158"/>
      <c r="F470" s="158"/>
      <c r="G470" s="42"/>
      <c r="H470" s="42" t="s">
        <v>853</v>
      </c>
    </row>
    <row r="471" spans="1:8" ht="30" x14ac:dyDescent="0.25">
      <c r="A471" s="158">
        <v>66</v>
      </c>
      <c r="B471" s="178" t="s">
        <v>510</v>
      </c>
      <c r="C471" s="158" t="s">
        <v>25</v>
      </c>
      <c r="D471" s="158" t="s">
        <v>26</v>
      </c>
      <c r="E471" s="158" t="s">
        <v>1</v>
      </c>
      <c r="F471" s="158" t="s">
        <v>10</v>
      </c>
      <c r="G471" s="42"/>
      <c r="H471" s="42" t="s">
        <v>827</v>
      </c>
    </row>
    <row r="472" spans="1:8" ht="60" x14ac:dyDescent="0.25">
      <c r="A472" s="158">
        <v>66</v>
      </c>
      <c r="B472" s="178" t="s">
        <v>511</v>
      </c>
      <c r="C472" s="158"/>
      <c r="D472" s="158" t="s">
        <v>45</v>
      </c>
      <c r="E472" s="158" t="s">
        <v>741</v>
      </c>
      <c r="F472" s="158"/>
      <c r="G472" s="160" t="s">
        <v>688</v>
      </c>
      <c r="H472" s="42"/>
    </row>
    <row r="473" spans="1:8" ht="30" x14ac:dyDescent="0.25">
      <c r="A473" s="158">
        <v>66</v>
      </c>
      <c r="B473" s="178" t="s">
        <v>512</v>
      </c>
      <c r="C473" s="158" t="s">
        <v>51</v>
      </c>
      <c r="D473" s="158" t="s">
        <v>706</v>
      </c>
      <c r="E473" s="158"/>
      <c r="F473" s="158" t="s">
        <v>54</v>
      </c>
      <c r="G473" s="160" t="s">
        <v>692</v>
      </c>
      <c r="H473" s="42" t="s">
        <v>706</v>
      </c>
    </row>
    <row r="474" spans="1:8" ht="30" x14ac:dyDescent="0.25">
      <c r="A474" s="158">
        <v>66</v>
      </c>
      <c r="B474" s="178" t="s">
        <v>513</v>
      </c>
      <c r="C474" s="158" t="s">
        <v>25</v>
      </c>
      <c r="D474" s="158" t="s">
        <v>26</v>
      </c>
      <c r="E474" s="158" t="s">
        <v>4</v>
      </c>
      <c r="F474" s="158"/>
      <c r="G474" s="42"/>
      <c r="H474" s="42" t="s">
        <v>834</v>
      </c>
    </row>
    <row r="475" spans="1:8" ht="90" x14ac:dyDescent="0.25">
      <c r="A475" s="158">
        <v>66</v>
      </c>
      <c r="B475" s="178" t="s">
        <v>514</v>
      </c>
      <c r="C475" s="158" t="s">
        <v>25</v>
      </c>
      <c r="D475" s="158" t="s">
        <v>26</v>
      </c>
      <c r="E475" s="158" t="s">
        <v>27</v>
      </c>
      <c r="F475" s="158" t="s">
        <v>10</v>
      </c>
      <c r="G475" s="42"/>
      <c r="H475" s="42" t="s">
        <v>848</v>
      </c>
    </row>
    <row r="476" spans="1:8" ht="45" x14ac:dyDescent="0.25">
      <c r="A476" s="158">
        <v>66</v>
      </c>
      <c r="B476" s="178" t="s">
        <v>515</v>
      </c>
      <c r="C476" s="158" t="s">
        <v>36</v>
      </c>
      <c r="D476" s="158" t="s">
        <v>37</v>
      </c>
      <c r="E476" s="158" t="s">
        <v>38</v>
      </c>
      <c r="F476" s="158" t="s">
        <v>175</v>
      </c>
      <c r="G476" s="42"/>
      <c r="H476" s="42" t="s">
        <v>824</v>
      </c>
    </row>
    <row r="477" spans="1:8" ht="60" x14ac:dyDescent="0.25">
      <c r="A477" s="158">
        <v>67</v>
      </c>
      <c r="B477" s="178" t="s">
        <v>516</v>
      </c>
      <c r="C477" s="158" t="s">
        <v>62</v>
      </c>
      <c r="D477" s="158" t="s">
        <v>63</v>
      </c>
      <c r="E477" s="158" t="s">
        <v>699</v>
      </c>
      <c r="F477" s="158"/>
      <c r="G477" s="42"/>
      <c r="H477" s="42" t="s">
        <v>828</v>
      </c>
    </row>
    <row r="478" spans="1:8" ht="30" x14ac:dyDescent="0.25">
      <c r="A478" s="158">
        <v>67</v>
      </c>
      <c r="B478" s="158" t="s">
        <v>517</v>
      </c>
      <c r="C478" s="158" t="s">
        <v>25</v>
      </c>
      <c r="D478" s="158" t="s">
        <v>26</v>
      </c>
      <c r="E478" s="158" t="s">
        <v>27</v>
      </c>
      <c r="F478" s="158" t="s">
        <v>10</v>
      </c>
      <c r="G478" s="42"/>
      <c r="H478" s="42" t="s">
        <v>827</v>
      </c>
    </row>
    <row r="479" spans="1:8" ht="60" x14ac:dyDescent="0.25">
      <c r="A479" s="158">
        <v>67</v>
      </c>
      <c r="B479" s="178" t="s">
        <v>518</v>
      </c>
      <c r="C479" s="158" t="s">
        <v>62</v>
      </c>
      <c r="D479" s="158" t="s">
        <v>63</v>
      </c>
      <c r="E479" s="158" t="s">
        <v>699</v>
      </c>
      <c r="F479" s="158"/>
      <c r="G479" s="42"/>
      <c r="H479" s="42" t="s">
        <v>828</v>
      </c>
    </row>
    <row r="480" spans="1:8" ht="30" x14ac:dyDescent="0.25">
      <c r="A480" s="158">
        <v>68</v>
      </c>
      <c r="B480" s="178" t="s">
        <v>519</v>
      </c>
      <c r="C480" s="158" t="s">
        <v>25</v>
      </c>
      <c r="D480" s="158" t="s">
        <v>26</v>
      </c>
      <c r="E480" s="158" t="s">
        <v>11</v>
      </c>
      <c r="F480" s="158" t="s">
        <v>5</v>
      </c>
      <c r="G480" s="42"/>
      <c r="H480" s="42" t="s">
        <v>826</v>
      </c>
    </row>
    <row r="481" spans="1:8" ht="45" x14ac:dyDescent="0.25">
      <c r="A481" s="158">
        <v>69</v>
      </c>
      <c r="B481" s="178" t="s">
        <v>680</v>
      </c>
      <c r="C481" s="158" t="s">
        <v>47</v>
      </c>
      <c r="D481" s="158" t="s">
        <v>48</v>
      </c>
      <c r="E481" s="158" t="s">
        <v>49</v>
      </c>
      <c r="F481" s="158"/>
      <c r="G481" s="158" t="s">
        <v>684</v>
      </c>
      <c r="H481" s="42" t="s">
        <v>858</v>
      </c>
    </row>
    <row r="482" spans="1:8" ht="30" x14ac:dyDescent="0.25">
      <c r="A482" s="158">
        <v>69</v>
      </c>
      <c r="B482" s="178" t="s">
        <v>520</v>
      </c>
      <c r="C482" s="180" t="s">
        <v>25</v>
      </c>
      <c r="D482" s="180" t="s">
        <v>26</v>
      </c>
      <c r="E482" s="180" t="s">
        <v>27</v>
      </c>
      <c r="F482" s="180" t="s">
        <v>5</v>
      </c>
      <c r="G482" s="42"/>
      <c r="H482" s="42" t="s">
        <v>825</v>
      </c>
    </row>
    <row r="483" spans="1:8" ht="30" x14ac:dyDescent="0.25">
      <c r="A483" s="158">
        <v>69</v>
      </c>
      <c r="B483" s="181" t="s">
        <v>521</v>
      </c>
      <c r="C483" s="180"/>
      <c r="D483" s="180"/>
      <c r="E483" s="180"/>
      <c r="F483" s="180"/>
      <c r="G483" s="42"/>
      <c r="H483" s="42"/>
    </row>
    <row r="484" spans="1:8" x14ac:dyDescent="0.25">
      <c r="A484" s="158">
        <v>69</v>
      </c>
      <c r="B484" s="178" t="s">
        <v>522</v>
      </c>
      <c r="C484" s="180"/>
      <c r="D484" s="180"/>
      <c r="E484" s="180"/>
      <c r="F484" s="180"/>
      <c r="G484" s="42"/>
      <c r="H484" s="42"/>
    </row>
    <row r="485" spans="1:8" ht="30" x14ac:dyDescent="0.25">
      <c r="A485" s="158">
        <v>69</v>
      </c>
      <c r="B485" s="178" t="s">
        <v>523</v>
      </c>
      <c r="C485" s="158" t="s">
        <v>57</v>
      </c>
      <c r="D485" s="158" t="s">
        <v>58</v>
      </c>
      <c r="E485" s="158" t="s">
        <v>59</v>
      </c>
      <c r="F485" s="158" t="s">
        <v>60</v>
      </c>
      <c r="G485" s="42"/>
      <c r="H485" s="42" t="s">
        <v>835</v>
      </c>
    </row>
    <row r="486" spans="1:8" ht="45" x14ac:dyDescent="0.25">
      <c r="A486" s="158">
        <v>70</v>
      </c>
      <c r="B486" s="178" t="s">
        <v>524</v>
      </c>
      <c r="C486" s="158" t="s">
        <v>51</v>
      </c>
      <c r="D486" s="158" t="s">
        <v>23</v>
      </c>
      <c r="E486" s="158" t="s">
        <v>3</v>
      </c>
      <c r="F486" s="158" t="s">
        <v>8</v>
      </c>
      <c r="G486" s="42"/>
      <c r="H486" s="42" t="s">
        <v>824</v>
      </c>
    </row>
    <row r="487" spans="1:8" ht="30" x14ac:dyDescent="0.25">
      <c r="A487" s="158">
        <v>70</v>
      </c>
      <c r="B487" s="178" t="s">
        <v>229</v>
      </c>
      <c r="C487" s="158"/>
      <c r="D487" s="158" t="s">
        <v>68</v>
      </c>
      <c r="E487" s="158" t="s">
        <v>742</v>
      </c>
      <c r="F487" s="158"/>
      <c r="G487" s="160" t="s">
        <v>688</v>
      </c>
      <c r="H487" s="42"/>
    </row>
    <row r="488" spans="1:8" ht="45" x14ac:dyDescent="0.25">
      <c r="A488" s="158">
        <v>70</v>
      </c>
      <c r="B488" s="178" t="s">
        <v>525</v>
      </c>
      <c r="C488" s="158" t="s">
        <v>22</v>
      </c>
      <c r="D488" s="158" t="s">
        <v>23</v>
      </c>
      <c r="E488" s="158" t="s">
        <v>3</v>
      </c>
      <c r="F488" s="158" t="s">
        <v>8</v>
      </c>
      <c r="G488" s="42"/>
      <c r="H488" s="42" t="s">
        <v>824</v>
      </c>
    </row>
    <row r="489" spans="1:8" ht="60" x14ac:dyDescent="0.25">
      <c r="A489" s="158">
        <v>70</v>
      </c>
      <c r="B489" s="178" t="s">
        <v>526</v>
      </c>
      <c r="C489" s="158" t="s">
        <v>25</v>
      </c>
      <c r="D489" s="158" t="s">
        <v>26</v>
      </c>
      <c r="E489" s="158" t="s">
        <v>27</v>
      </c>
      <c r="F489" s="158" t="s">
        <v>10</v>
      </c>
      <c r="G489" s="158" t="s">
        <v>720</v>
      </c>
      <c r="H489" s="42" t="s">
        <v>841</v>
      </c>
    </row>
    <row r="490" spans="1:8" ht="60" x14ac:dyDescent="0.25">
      <c r="A490" s="158">
        <v>70</v>
      </c>
      <c r="B490" s="178" t="s">
        <v>527</v>
      </c>
      <c r="C490" s="158" t="s">
        <v>22</v>
      </c>
      <c r="D490" s="158" t="s">
        <v>33</v>
      </c>
      <c r="E490" s="158" t="s">
        <v>699</v>
      </c>
      <c r="F490" s="158"/>
      <c r="G490" s="42"/>
      <c r="H490" s="42" t="s">
        <v>828</v>
      </c>
    </row>
    <row r="491" spans="1:8" ht="120" x14ac:dyDescent="0.25">
      <c r="A491" s="158">
        <v>70</v>
      </c>
      <c r="B491" s="178" t="s">
        <v>528</v>
      </c>
      <c r="C491" s="158" t="s">
        <v>22</v>
      </c>
      <c r="D491" s="158" t="s">
        <v>33</v>
      </c>
      <c r="E491" s="158" t="s">
        <v>698</v>
      </c>
      <c r="F491" s="158"/>
      <c r="G491" s="42"/>
      <c r="H491" s="42" t="s">
        <v>828</v>
      </c>
    </row>
    <row r="492" spans="1:8" ht="45" x14ac:dyDescent="0.25">
      <c r="A492" s="158">
        <v>70</v>
      </c>
      <c r="B492" s="178" t="s">
        <v>529</v>
      </c>
      <c r="C492" s="158" t="s">
        <v>51</v>
      </c>
      <c r="D492" s="158" t="s">
        <v>23</v>
      </c>
      <c r="E492" s="158" t="s">
        <v>3</v>
      </c>
      <c r="F492" s="158" t="s">
        <v>8</v>
      </c>
      <c r="G492" s="42"/>
      <c r="H492" s="42" t="s">
        <v>824</v>
      </c>
    </row>
    <row r="493" spans="1:8" ht="30" x14ac:dyDescent="0.25">
      <c r="A493" s="158">
        <v>70</v>
      </c>
      <c r="B493" s="178" t="s">
        <v>530</v>
      </c>
      <c r="C493" s="158"/>
      <c r="D493" s="158" t="s">
        <v>45</v>
      </c>
      <c r="E493" s="158" t="s">
        <v>496</v>
      </c>
      <c r="F493" s="158"/>
      <c r="G493" s="160" t="s">
        <v>688</v>
      </c>
      <c r="H493" s="42"/>
    </row>
    <row r="494" spans="1:8" ht="45" x14ac:dyDescent="0.25">
      <c r="A494" s="158">
        <v>70</v>
      </c>
      <c r="B494" s="178" t="s">
        <v>531</v>
      </c>
      <c r="C494" s="158" t="s">
        <v>22</v>
      </c>
      <c r="D494" s="158" t="s">
        <v>23</v>
      </c>
      <c r="E494" s="158" t="s">
        <v>0</v>
      </c>
      <c r="F494" s="158"/>
      <c r="G494" s="160" t="s">
        <v>684</v>
      </c>
      <c r="H494" s="42" t="s">
        <v>824</v>
      </c>
    </row>
    <row r="495" spans="1:8" ht="180" x14ac:dyDescent="0.25">
      <c r="A495" s="158">
        <v>70</v>
      </c>
      <c r="B495" s="178" t="s">
        <v>532</v>
      </c>
      <c r="C495" s="180" t="s">
        <v>240</v>
      </c>
      <c r="D495" s="180" t="s">
        <v>241</v>
      </c>
      <c r="E495" s="180"/>
      <c r="F495" s="180" t="s">
        <v>110</v>
      </c>
      <c r="G495" s="42"/>
      <c r="H495" s="42" t="s">
        <v>825</v>
      </c>
    </row>
    <row r="496" spans="1:8" ht="35.25" customHeight="1" x14ac:dyDescent="0.25">
      <c r="A496" s="158">
        <v>70</v>
      </c>
      <c r="B496" s="178" t="s">
        <v>533</v>
      </c>
      <c r="C496" s="180"/>
      <c r="D496" s="180"/>
      <c r="E496" s="180"/>
      <c r="F496" s="180"/>
      <c r="G496" s="42"/>
      <c r="H496" s="42"/>
    </row>
    <row r="497" spans="1:8" ht="30" x14ac:dyDescent="0.25">
      <c r="A497" s="158">
        <v>70</v>
      </c>
      <c r="B497" s="178" t="s">
        <v>534</v>
      </c>
      <c r="C497" s="158" t="s">
        <v>25</v>
      </c>
      <c r="D497" s="158" t="s">
        <v>26</v>
      </c>
      <c r="E497" s="158" t="s">
        <v>11</v>
      </c>
      <c r="F497" s="158" t="s">
        <v>10</v>
      </c>
      <c r="G497" s="42"/>
      <c r="H497" s="42" t="s">
        <v>825</v>
      </c>
    </row>
    <row r="498" spans="1:8" ht="45" x14ac:dyDescent="0.25">
      <c r="A498" s="158">
        <v>71</v>
      </c>
      <c r="B498" s="178" t="s">
        <v>535</v>
      </c>
      <c r="C498" s="158" t="s">
        <v>22</v>
      </c>
      <c r="D498" s="158" t="s">
        <v>23</v>
      </c>
      <c r="E498" s="158" t="s">
        <v>3</v>
      </c>
      <c r="F498" s="158" t="s">
        <v>8</v>
      </c>
      <c r="G498" s="42"/>
      <c r="H498" s="42" t="s">
        <v>824</v>
      </c>
    </row>
    <row r="499" spans="1:8" ht="60" x14ac:dyDescent="0.25">
      <c r="A499" s="158">
        <v>71</v>
      </c>
      <c r="B499" s="178" t="s">
        <v>536</v>
      </c>
      <c r="C499" s="158" t="s">
        <v>22</v>
      </c>
      <c r="D499" s="158" t="s">
        <v>23</v>
      </c>
      <c r="E499" s="158" t="s">
        <v>3</v>
      </c>
      <c r="F499" s="158" t="s">
        <v>8</v>
      </c>
      <c r="G499" s="42"/>
      <c r="H499" s="42" t="s">
        <v>824</v>
      </c>
    </row>
    <row r="500" spans="1:8" ht="30" x14ac:dyDescent="0.25">
      <c r="A500" s="158">
        <v>71</v>
      </c>
      <c r="B500" s="178" t="s">
        <v>537</v>
      </c>
      <c r="C500" s="158" t="s">
        <v>22</v>
      </c>
      <c r="D500" s="158" t="s">
        <v>23</v>
      </c>
      <c r="E500" s="158" t="s">
        <v>3</v>
      </c>
      <c r="F500" s="158" t="s">
        <v>7</v>
      </c>
      <c r="G500" s="42"/>
      <c r="H500" s="42" t="s">
        <v>824</v>
      </c>
    </row>
    <row r="501" spans="1:8" ht="30" x14ac:dyDescent="0.25">
      <c r="A501" s="158">
        <v>71</v>
      </c>
      <c r="B501" s="178" t="s">
        <v>538</v>
      </c>
      <c r="C501" s="158" t="s">
        <v>47</v>
      </c>
      <c r="D501" s="158" t="s">
        <v>48</v>
      </c>
      <c r="E501" s="158" t="s">
        <v>49</v>
      </c>
      <c r="F501" s="158"/>
      <c r="G501" s="42"/>
      <c r="H501" s="42" t="s">
        <v>830</v>
      </c>
    </row>
    <row r="502" spans="1:8" ht="60" x14ac:dyDescent="0.25">
      <c r="A502" s="158">
        <v>71</v>
      </c>
      <c r="B502" s="178" t="s">
        <v>539</v>
      </c>
      <c r="C502" s="158" t="s">
        <v>62</v>
      </c>
      <c r="D502" s="158" t="s">
        <v>63</v>
      </c>
      <c r="E502" s="158" t="s">
        <v>699</v>
      </c>
      <c r="F502" s="158"/>
      <c r="G502" s="42"/>
      <c r="H502" s="42" t="s">
        <v>828</v>
      </c>
    </row>
    <row r="503" spans="1:8" ht="45" x14ac:dyDescent="0.25">
      <c r="A503" s="158">
        <v>71</v>
      </c>
      <c r="B503" s="158" t="s">
        <v>540</v>
      </c>
      <c r="C503" s="158" t="s">
        <v>36</v>
      </c>
      <c r="D503" s="158" t="s">
        <v>37</v>
      </c>
      <c r="E503" s="158" t="s">
        <v>131</v>
      </c>
      <c r="F503" s="158" t="s">
        <v>39</v>
      </c>
      <c r="G503" s="42"/>
      <c r="H503" s="42" t="s">
        <v>824</v>
      </c>
    </row>
    <row r="504" spans="1:8" ht="45" x14ac:dyDescent="0.25">
      <c r="A504" s="158">
        <v>72</v>
      </c>
      <c r="B504" s="178" t="s">
        <v>541</v>
      </c>
      <c r="C504" s="158" t="s">
        <v>51</v>
      </c>
      <c r="D504" s="158" t="s">
        <v>23</v>
      </c>
      <c r="E504" s="158" t="s">
        <v>14</v>
      </c>
      <c r="F504" s="158" t="s">
        <v>8</v>
      </c>
      <c r="G504" s="42"/>
      <c r="H504" s="42" t="s">
        <v>828</v>
      </c>
    </row>
    <row r="505" spans="1:8" ht="30" x14ac:dyDescent="0.25">
      <c r="A505" s="158">
        <v>72</v>
      </c>
      <c r="B505" s="178" t="s">
        <v>542</v>
      </c>
      <c r="C505" s="158"/>
      <c r="D505" s="158" t="s">
        <v>53</v>
      </c>
      <c r="E505" s="158" t="s">
        <v>739</v>
      </c>
      <c r="F505" s="158"/>
      <c r="G505" s="160" t="s">
        <v>688</v>
      </c>
      <c r="H505" s="42"/>
    </row>
    <row r="506" spans="1:8" ht="45" x14ac:dyDescent="0.25">
      <c r="A506" s="158">
        <v>72</v>
      </c>
      <c r="B506" s="178" t="s">
        <v>543</v>
      </c>
      <c r="C506" s="158" t="s">
        <v>25</v>
      </c>
      <c r="D506" s="158" t="s">
        <v>26</v>
      </c>
      <c r="E506" s="158" t="s">
        <v>11</v>
      </c>
      <c r="F506" s="158" t="s">
        <v>5</v>
      </c>
      <c r="G506" s="158" t="s">
        <v>720</v>
      </c>
      <c r="H506" s="42" t="s">
        <v>841</v>
      </c>
    </row>
    <row r="507" spans="1:8" ht="30" x14ac:dyDescent="0.25">
      <c r="A507" s="158">
        <v>72</v>
      </c>
      <c r="B507" s="178" t="s">
        <v>544</v>
      </c>
      <c r="C507" s="158" t="s">
        <v>62</v>
      </c>
      <c r="D507" s="158" t="s">
        <v>63</v>
      </c>
      <c r="E507" s="158" t="s">
        <v>698</v>
      </c>
      <c r="F507" s="158"/>
      <c r="G507" s="42"/>
      <c r="H507" s="42" t="s">
        <v>828</v>
      </c>
    </row>
    <row r="508" spans="1:8" ht="60" x14ac:dyDescent="0.25">
      <c r="A508" s="158">
        <v>72</v>
      </c>
      <c r="B508" s="158" t="s">
        <v>545</v>
      </c>
      <c r="C508" s="158" t="s">
        <v>193</v>
      </c>
      <c r="D508" s="158" t="s">
        <v>63</v>
      </c>
      <c r="E508" s="158" t="s">
        <v>699</v>
      </c>
      <c r="F508" s="158"/>
      <c r="G508" s="42"/>
      <c r="H508" s="42" t="s">
        <v>828</v>
      </c>
    </row>
    <row r="509" spans="1:8" ht="30" x14ac:dyDescent="0.25">
      <c r="A509" s="158">
        <v>72</v>
      </c>
      <c r="B509" s="158" t="s">
        <v>546</v>
      </c>
      <c r="C509" s="158"/>
      <c r="D509" s="158" t="s">
        <v>53</v>
      </c>
      <c r="E509" s="158"/>
      <c r="F509" s="158" t="s">
        <v>738</v>
      </c>
      <c r="G509" s="160" t="s">
        <v>688</v>
      </c>
      <c r="H509" s="42"/>
    </row>
    <row r="510" spans="1:8" ht="30" x14ac:dyDescent="0.25">
      <c r="A510" s="158">
        <v>72</v>
      </c>
      <c r="B510" s="158" t="s">
        <v>547</v>
      </c>
      <c r="C510" s="158" t="s">
        <v>25</v>
      </c>
      <c r="D510" s="158" t="s">
        <v>26</v>
      </c>
      <c r="E510" s="158" t="s">
        <v>11</v>
      </c>
      <c r="F510" s="158" t="s">
        <v>2</v>
      </c>
      <c r="G510" s="42"/>
      <c r="H510" s="42" t="s">
        <v>825</v>
      </c>
    </row>
    <row r="511" spans="1:8" ht="60" x14ac:dyDescent="0.25">
      <c r="A511" s="158">
        <v>72</v>
      </c>
      <c r="B511" s="158" t="s">
        <v>548</v>
      </c>
      <c r="C511" s="158" t="s">
        <v>22</v>
      </c>
      <c r="D511" s="158" t="s">
        <v>33</v>
      </c>
      <c r="E511" s="158" t="s">
        <v>699</v>
      </c>
      <c r="F511" s="158"/>
      <c r="G511" s="42"/>
      <c r="H511" s="42" t="s">
        <v>828</v>
      </c>
    </row>
    <row r="512" spans="1:8" ht="30" x14ac:dyDescent="0.25">
      <c r="A512" s="158">
        <v>72</v>
      </c>
      <c r="B512" s="158" t="s">
        <v>549</v>
      </c>
      <c r="C512" s="158" t="s">
        <v>25</v>
      </c>
      <c r="D512" s="158" t="s">
        <v>26</v>
      </c>
      <c r="E512" s="158" t="s">
        <v>29</v>
      </c>
      <c r="F512" s="158" t="s">
        <v>2</v>
      </c>
      <c r="G512" s="42"/>
      <c r="H512" s="42" t="s">
        <v>827</v>
      </c>
    </row>
    <row r="513" spans="1:8" x14ac:dyDescent="0.25">
      <c r="A513" s="158">
        <v>72</v>
      </c>
      <c r="B513" s="181" t="s">
        <v>550</v>
      </c>
      <c r="C513" s="180" t="s">
        <v>25</v>
      </c>
      <c r="D513" s="180" t="s">
        <v>26</v>
      </c>
      <c r="E513" s="180" t="s">
        <v>1</v>
      </c>
      <c r="F513" s="180" t="s">
        <v>2</v>
      </c>
      <c r="G513" s="160"/>
      <c r="H513" s="42" t="s">
        <v>825</v>
      </c>
    </row>
    <row r="514" spans="1:8" x14ac:dyDescent="0.25">
      <c r="A514" s="158">
        <v>72</v>
      </c>
      <c r="B514" s="178" t="s">
        <v>551</v>
      </c>
      <c r="C514" s="180"/>
      <c r="D514" s="180"/>
      <c r="E514" s="180"/>
      <c r="F514" s="180"/>
      <c r="G514" s="42"/>
      <c r="H514" s="42"/>
    </row>
    <row r="515" spans="1:8" ht="90" x14ac:dyDescent="0.25">
      <c r="A515" s="158">
        <v>72</v>
      </c>
      <c r="B515" s="178" t="s">
        <v>552</v>
      </c>
      <c r="C515" s="158" t="s">
        <v>22</v>
      </c>
      <c r="D515" s="158" t="s">
        <v>23</v>
      </c>
      <c r="E515" s="158" t="s">
        <v>3</v>
      </c>
      <c r="F515" s="158" t="s">
        <v>6</v>
      </c>
      <c r="G515" s="42"/>
      <c r="H515" s="42" t="s">
        <v>824</v>
      </c>
    </row>
    <row r="516" spans="1:8" ht="30" x14ac:dyDescent="0.25">
      <c r="A516" s="158">
        <v>72</v>
      </c>
      <c r="B516" s="178" t="s">
        <v>553</v>
      </c>
      <c r="C516" s="158" t="s">
        <v>25</v>
      </c>
      <c r="D516" s="158" t="s">
        <v>26</v>
      </c>
      <c r="E516" s="158" t="s">
        <v>1</v>
      </c>
      <c r="F516" s="158" t="s">
        <v>10</v>
      </c>
      <c r="G516" s="42"/>
      <c r="H516" s="42" t="s">
        <v>825</v>
      </c>
    </row>
    <row r="517" spans="1:8" ht="30" x14ac:dyDescent="0.25">
      <c r="A517" s="158">
        <v>73</v>
      </c>
      <c r="B517" s="158" t="s">
        <v>554</v>
      </c>
      <c r="C517" s="158" t="s">
        <v>25</v>
      </c>
      <c r="D517" s="158" t="s">
        <v>26</v>
      </c>
      <c r="E517" s="158" t="s">
        <v>4</v>
      </c>
      <c r="F517" s="158"/>
      <c r="G517" s="42"/>
      <c r="H517" s="42" t="s">
        <v>827</v>
      </c>
    </row>
    <row r="518" spans="1:8" ht="30" x14ac:dyDescent="0.25">
      <c r="A518" s="158">
        <v>73</v>
      </c>
      <c r="B518" s="178" t="s">
        <v>555</v>
      </c>
      <c r="C518" s="158" t="s">
        <v>25</v>
      </c>
      <c r="D518" s="158" t="s">
        <v>26</v>
      </c>
      <c r="E518" s="158" t="s">
        <v>27</v>
      </c>
      <c r="F518" s="158" t="s">
        <v>10</v>
      </c>
      <c r="G518" s="42"/>
      <c r="H518" s="42" t="s">
        <v>827</v>
      </c>
    </row>
    <row r="519" spans="1:8" ht="120" x14ac:dyDescent="0.25">
      <c r="A519" s="158">
        <v>73</v>
      </c>
      <c r="B519" s="178" t="s">
        <v>556</v>
      </c>
      <c r="C519" s="158" t="s">
        <v>25</v>
      </c>
      <c r="D519" s="158" t="s">
        <v>26</v>
      </c>
      <c r="E519" s="158" t="s">
        <v>11</v>
      </c>
      <c r="F519" s="158" t="s">
        <v>10</v>
      </c>
      <c r="G519" s="42"/>
      <c r="H519" s="42" t="s">
        <v>825</v>
      </c>
    </row>
    <row r="520" spans="1:8" ht="30" x14ac:dyDescent="0.25">
      <c r="A520" s="158">
        <v>73</v>
      </c>
      <c r="B520" s="178" t="s">
        <v>557</v>
      </c>
      <c r="C520" s="158" t="s">
        <v>103</v>
      </c>
      <c r="D520" s="158" t="s">
        <v>42</v>
      </c>
      <c r="E520" s="158"/>
      <c r="F520" s="158" t="s">
        <v>104</v>
      </c>
      <c r="G520" s="42"/>
      <c r="H520" s="42" t="s">
        <v>42</v>
      </c>
    </row>
    <row r="521" spans="1:8" ht="30" x14ac:dyDescent="0.25">
      <c r="A521" s="158">
        <v>73</v>
      </c>
      <c r="B521" s="178" t="s">
        <v>558</v>
      </c>
      <c r="C521" s="158" t="s">
        <v>103</v>
      </c>
      <c r="D521" s="158" t="s">
        <v>42</v>
      </c>
      <c r="E521" s="158"/>
      <c r="F521" s="158" t="s">
        <v>104</v>
      </c>
      <c r="G521" s="160" t="s">
        <v>692</v>
      </c>
      <c r="H521" s="42" t="s">
        <v>42</v>
      </c>
    </row>
    <row r="522" spans="1:8" ht="74.25" customHeight="1" x14ac:dyDescent="0.25">
      <c r="A522" s="158">
        <v>73</v>
      </c>
      <c r="B522" s="178" t="s">
        <v>559</v>
      </c>
      <c r="C522" s="158" t="s">
        <v>22</v>
      </c>
      <c r="D522" s="158" t="s">
        <v>23</v>
      </c>
      <c r="E522" s="158" t="s">
        <v>3</v>
      </c>
      <c r="F522" s="158" t="s">
        <v>8</v>
      </c>
      <c r="G522" s="158" t="s">
        <v>718</v>
      </c>
      <c r="H522" s="158" t="s">
        <v>829</v>
      </c>
    </row>
    <row r="523" spans="1:8" ht="45" x14ac:dyDescent="0.25">
      <c r="A523" s="158">
        <v>73</v>
      </c>
      <c r="B523" s="178" t="s">
        <v>560</v>
      </c>
      <c r="C523" s="158" t="s">
        <v>51</v>
      </c>
      <c r="D523" s="158" t="s">
        <v>23</v>
      </c>
      <c r="E523" s="158" t="s">
        <v>3</v>
      </c>
      <c r="F523" s="158" t="s">
        <v>8</v>
      </c>
      <c r="G523" s="158" t="s">
        <v>717</v>
      </c>
      <c r="H523" s="158" t="s">
        <v>824</v>
      </c>
    </row>
    <row r="524" spans="1:8" ht="74.25" customHeight="1" x14ac:dyDescent="0.25">
      <c r="A524" s="158">
        <v>73</v>
      </c>
      <c r="B524" s="178" t="s">
        <v>561</v>
      </c>
      <c r="C524" s="158"/>
      <c r="D524" s="158" t="s">
        <v>68</v>
      </c>
      <c r="E524" s="158" t="s">
        <v>742</v>
      </c>
      <c r="F524" s="158" t="s">
        <v>749</v>
      </c>
      <c r="G524" s="158" t="s">
        <v>690</v>
      </c>
      <c r="H524" s="42"/>
    </row>
    <row r="525" spans="1:8" ht="45" x14ac:dyDescent="0.25">
      <c r="A525" s="158">
        <v>73</v>
      </c>
      <c r="B525" s="178" t="s">
        <v>562</v>
      </c>
      <c r="C525" s="158" t="s">
        <v>25</v>
      </c>
      <c r="D525" s="158" t="s">
        <v>26</v>
      </c>
      <c r="E525" s="158" t="s">
        <v>27</v>
      </c>
      <c r="F525" s="158" t="s">
        <v>5</v>
      </c>
      <c r="G525" s="42"/>
      <c r="H525" s="42" t="s">
        <v>843</v>
      </c>
    </row>
    <row r="526" spans="1:8" ht="135" x14ac:dyDescent="0.25">
      <c r="A526" s="158">
        <v>73</v>
      </c>
      <c r="B526" s="181" t="s">
        <v>563</v>
      </c>
      <c r="C526" s="158" t="s">
        <v>25</v>
      </c>
      <c r="D526" s="158" t="s">
        <v>26</v>
      </c>
      <c r="E526" s="158" t="s">
        <v>9</v>
      </c>
      <c r="F526" s="158" t="s">
        <v>5</v>
      </c>
      <c r="G526" s="42"/>
      <c r="H526" s="42" t="s">
        <v>825</v>
      </c>
    </row>
    <row r="527" spans="1:8" ht="45" x14ac:dyDescent="0.25">
      <c r="A527" s="158">
        <v>74</v>
      </c>
      <c r="B527" s="178" t="s">
        <v>564</v>
      </c>
      <c r="C527" s="158" t="s">
        <v>25</v>
      </c>
      <c r="D527" s="158" t="s">
        <v>26</v>
      </c>
      <c r="E527" s="158" t="s">
        <v>11</v>
      </c>
      <c r="F527" s="158" t="s">
        <v>10</v>
      </c>
      <c r="G527" s="42"/>
      <c r="H527" s="42" t="s">
        <v>827</v>
      </c>
    </row>
    <row r="528" spans="1:8" ht="45" x14ac:dyDescent="0.25">
      <c r="A528" s="158">
        <v>74</v>
      </c>
      <c r="B528" s="178" t="s">
        <v>565</v>
      </c>
      <c r="C528" s="158" t="s">
        <v>25</v>
      </c>
      <c r="D528" s="158" t="s">
        <v>26</v>
      </c>
      <c r="E528" s="158" t="s">
        <v>11</v>
      </c>
      <c r="F528" s="158" t="s">
        <v>5</v>
      </c>
      <c r="G528" s="42"/>
      <c r="H528" s="42" t="s">
        <v>825</v>
      </c>
    </row>
    <row r="529" spans="1:8" x14ac:dyDescent="0.25">
      <c r="A529" s="158">
        <v>74</v>
      </c>
      <c r="B529" s="178" t="s">
        <v>566</v>
      </c>
      <c r="C529" s="158" t="s">
        <v>25</v>
      </c>
      <c r="D529" s="158" t="s">
        <v>26</v>
      </c>
      <c r="E529" s="158" t="s">
        <v>9</v>
      </c>
      <c r="F529" s="158" t="s">
        <v>10</v>
      </c>
      <c r="G529" s="42"/>
      <c r="H529" s="42" t="s">
        <v>826</v>
      </c>
    </row>
    <row r="530" spans="1:8" ht="30" x14ac:dyDescent="0.25">
      <c r="A530" s="158">
        <v>74</v>
      </c>
      <c r="B530" s="178" t="s">
        <v>567</v>
      </c>
      <c r="C530" s="158" t="s">
        <v>25</v>
      </c>
      <c r="D530" s="158" t="s">
        <v>26</v>
      </c>
      <c r="E530" s="158" t="s">
        <v>11</v>
      </c>
      <c r="F530" s="158" t="s">
        <v>10</v>
      </c>
      <c r="G530" s="42"/>
      <c r="H530" s="42" t="s">
        <v>827</v>
      </c>
    </row>
    <row r="531" spans="1:8" ht="30" x14ac:dyDescent="0.25">
      <c r="A531" s="158">
        <v>74</v>
      </c>
      <c r="B531" s="178" t="s">
        <v>568</v>
      </c>
      <c r="C531" s="158" t="s">
        <v>47</v>
      </c>
      <c r="D531" s="158" t="s">
        <v>48</v>
      </c>
      <c r="E531" s="158" t="s">
        <v>49</v>
      </c>
      <c r="F531" s="158"/>
      <c r="G531" s="42"/>
      <c r="H531" s="42" t="s">
        <v>830</v>
      </c>
    </row>
    <row r="532" spans="1:8" ht="30" x14ac:dyDescent="0.25">
      <c r="A532" s="158">
        <v>74</v>
      </c>
      <c r="B532" s="178" t="s">
        <v>569</v>
      </c>
      <c r="C532" s="158" t="s">
        <v>25</v>
      </c>
      <c r="D532" s="158" t="s">
        <v>396</v>
      </c>
      <c r="E532" s="158" t="s">
        <v>4</v>
      </c>
      <c r="F532" s="158"/>
      <c r="G532" s="42"/>
      <c r="H532" s="42" t="s">
        <v>834</v>
      </c>
    </row>
    <row r="533" spans="1:8" ht="60" x14ac:dyDescent="0.25">
      <c r="A533" s="158">
        <v>74</v>
      </c>
      <c r="B533" s="178" t="s">
        <v>570</v>
      </c>
      <c r="C533" s="158" t="s">
        <v>25</v>
      </c>
      <c r="D533" s="158" t="s">
        <v>26</v>
      </c>
      <c r="E533" s="158" t="s">
        <v>11</v>
      </c>
      <c r="F533" s="158" t="s">
        <v>5</v>
      </c>
      <c r="G533" s="42"/>
      <c r="H533" s="42" t="s">
        <v>827</v>
      </c>
    </row>
    <row r="534" spans="1:8" ht="30" x14ac:dyDescent="0.25">
      <c r="A534" s="158">
        <v>74</v>
      </c>
      <c r="B534" s="178" t="s">
        <v>221</v>
      </c>
      <c r="C534" s="158" t="s">
        <v>25</v>
      </c>
      <c r="D534" s="158" t="s">
        <v>26</v>
      </c>
      <c r="E534" s="158" t="s">
        <v>4</v>
      </c>
      <c r="F534" s="158"/>
      <c r="G534" s="42"/>
      <c r="H534" s="42" t="s">
        <v>826</v>
      </c>
    </row>
    <row r="535" spans="1:8" ht="30" x14ac:dyDescent="0.25">
      <c r="A535" s="158">
        <v>74</v>
      </c>
      <c r="B535" s="178" t="s">
        <v>737</v>
      </c>
      <c r="C535" s="158" t="s">
        <v>25</v>
      </c>
      <c r="D535" s="158" t="s">
        <v>26</v>
      </c>
      <c r="E535" s="158" t="s">
        <v>27</v>
      </c>
      <c r="F535" s="158" t="s">
        <v>5</v>
      </c>
      <c r="G535" s="42"/>
      <c r="H535" s="42" t="s">
        <v>826</v>
      </c>
    </row>
    <row r="536" spans="1:8" ht="32.25" x14ac:dyDescent="0.25">
      <c r="A536" s="158">
        <v>74</v>
      </c>
      <c r="B536" s="178" t="s">
        <v>571</v>
      </c>
      <c r="C536" s="158" t="s">
        <v>47</v>
      </c>
      <c r="D536" s="158" t="s">
        <v>48</v>
      </c>
      <c r="E536" s="158" t="s">
        <v>49</v>
      </c>
      <c r="F536" s="158"/>
      <c r="G536" s="42"/>
      <c r="H536" s="42" t="s">
        <v>859</v>
      </c>
    </row>
    <row r="537" spans="1:8" ht="30" x14ac:dyDescent="0.25">
      <c r="A537" s="158">
        <v>74</v>
      </c>
      <c r="B537" s="178" t="s">
        <v>572</v>
      </c>
      <c r="C537" s="158" t="s">
        <v>25</v>
      </c>
      <c r="D537" s="158" t="s">
        <v>26</v>
      </c>
      <c r="E537" s="158" t="s">
        <v>212</v>
      </c>
      <c r="F537" s="158" t="s">
        <v>10</v>
      </c>
      <c r="G537" s="42"/>
      <c r="H537" s="42" t="s">
        <v>825</v>
      </c>
    </row>
    <row r="538" spans="1:8" ht="30" x14ac:dyDescent="0.25">
      <c r="A538" s="158">
        <v>74</v>
      </c>
      <c r="B538" s="178" t="s">
        <v>573</v>
      </c>
      <c r="C538" s="158" t="s">
        <v>25</v>
      </c>
      <c r="D538" s="158" t="s">
        <v>26</v>
      </c>
      <c r="E538" s="158" t="s">
        <v>1</v>
      </c>
      <c r="F538" s="158" t="s">
        <v>2</v>
      </c>
      <c r="G538" s="42"/>
      <c r="H538" s="42" t="s">
        <v>825</v>
      </c>
    </row>
    <row r="539" spans="1:8" ht="60" x14ac:dyDescent="0.25">
      <c r="A539" s="158">
        <v>74</v>
      </c>
      <c r="B539" s="178" t="s">
        <v>574</v>
      </c>
      <c r="C539" s="158" t="s">
        <v>22</v>
      </c>
      <c r="D539" s="158" t="s">
        <v>33</v>
      </c>
      <c r="E539" s="158" t="s">
        <v>698</v>
      </c>
      <c r="F539" s="158"/>
      <c r="G539" s="42"/>
      <c r="H539" s="42" t="s">
        <v>828</v>
      </c>
    </row>
    <row r="540" spans="1:8" ht="60" x14ac:dyDescent="0.25">
      <c r="A540" s="158">
        <v>74</v>
      </c>
      <c r="B540" s="178" t="s">
        <v>575</v>
      </c>
      <c r="C540" s="158" t="s">
        <v>25</v>
      </c>
      <c r="D540" s="158" t="s">
        <v>109</v>
      </c>
      <c r="E540" s="158"/>
      <c r="F540" s="158" t="s">
        <v>5</v>
      </c>
      <c r="G540" s="160" t="s">
        <v>720</v>
      </c>
      <c r="H540" s="42" t="s">
        <v>841</v>
      </c>
    </row>
    <row r="541" spans="1:8" ht="60" x14ac:dyDescent="0.25">
      <c r="A541" s="158">
        <v>74</v>
      </c>
      <c r="B541" s="178" t="s">
        <v>576</v>
      </c>
      <c r="C541" s="158" t="s">
        <v>62</v>
      </c>
      <c r="D541" s="158" t="s">
        <v>63</v>
      </c>
      <c r="E541" s="158" t="s">
        <v>699</v>
      </c>
      <c r="F541" s="158"/>
      <c r="G541" s="42"/>
      <c r="H541" s="42" t="s">
        <v>828</v>
      </c>
    </row>
    <row r="542" spans="1:8" ht="105" x14ac:dyDescent="0.25">
      <c r="A542" s="158">
        <v>75</v>
      </c>
      <c r="B542" s="178" t="s">
        <v>577</v>
      </c>
      <c r="C542" s="158" t="s">
        <v>25</v>
      </c>
      <c r="D542" s="158" t="s">
        <v>26</v>
      </c>
      <c r="E542" s="158" t="s">
        <v>212</v>
      </c>
      <c r="F542" s="158" t="s">
        <v>5</v>
      </c>
      <c r="G542" s="42"/>
      <c r="H542" s="42" t="s">
        <v>825</v>
      </c>
    </row>
    <row r="543" spans="1:8" ht="44.25" customHeight="1" x14ac:dyDescent="0.25">
      <c r="A543" s="158">
        <v>75</v>
      </c>
      <c r="B543" s="178" t="s">
        <v>578</v>
      </c>
      <c r="C543" s="158" t="s">
        <v>25</v>
      </c>
      <c r="D543" s="158" t="s">
        <v>26</v>
      </c>
      <c r="E543" s="158" t="s">
        <v>27</v>
      </c>
      <c r="F543" s="158" t="s">
        <v>10</v>
      </c>
      <c r="G543" s="42"/>
      <c r="H543" s="42" t="s">
        <v>843</v>
      </c>
    </row>
    <row r="544" spans="1:8" ht="45" x14ac:dyDescent="0.25">
      <c r="A544" s="158">
        <v>75</v>
      </c>
      <c r="B544" s="158" t="s">
        <v>579</v>
      </c>
      <c r="C544" s="158" t="s">
        <v>25</v>
      </c>
      <c r="D544" s="158" t="s">
        <v>26</v>
      </c>
      <c r="E544" s="158" t="s">
        <v>212</v>
      </c>
      <c r="F544" s="158" t="s">
        <v>10</v>
      </c>
      <c r="G544" s="42"/>
      <c r="H544" s="42" t="s">
        <v>825</v>
      </c>
    </row>
    <row r="545" spans="1:8" ht="60" x14ac:dyDescent="0.25">
      <c r="A545" s="158">
        <v>75</v>
      </c>
      <c r="B545" s="158" t="s">
        <v>580</v>
      </c>
      <c r="C545" s="158" t="s">
        <v>62</v>
      </c>
      <c r="D545" s="158" t="s">
        <v>63</v>
      </c>
      <c r="E545" s="158" t="s">
        <v>699</v>
      </c>
      <c r="F545" s="158"/>
      <c r="G545" s="42"/>
      <c r="H545" s="42" t="s">
        <v>828</v>
      </c>
    </row>
    <row r="546" spans="1:8" ht="45" x14ac:dyDescent="0.25">
      <c r="A546" s="158">
        <v>75</v>
      </c>
      <c r="B546" s="158" t="s">
        <v>581</v>
      </c>
      <c r="C546" s="158" t="s">
        <v>62</v>
      </c>
      <c r="D546" s="158" t="s">
        <v>63</v>
      </c>
      <c r="E546" s="158" t="s">
        <v>698</v>
      </c>
      <c r="F546" s="158"/>
      <c r="G546" s="42"/>
      <c r="H546" s="42" t="s">
        <v>828</v>
      </c>
    </row>
    <row r="547" spans="1:8" ht="60" x14ac:dyDescent="0.25">
      <c r="A547" s="158">
        <v>75</v>
      </c>
      <c r="B547" s="178" t="s">
        <v>582</v>
      </c>
      <c r="C547" s="158" t="s">
        <v>25</v>
      </c>
      <c r="D547" s="158" t="s">
        <v>26</v>
      </c>
      <c r="E547" s="158" t="s">
        <v>212</v>
      </c>
      <c r="F547" s="158" t="s">
        <v>10</v>
      </c>
      <c r="G547" s="42"/>
      <c r="H547" s="42" t="s">
        <v>827</v>
      </c>
    </row>
    <row r="548" spans="1:8" ht="30" x14ac:dyDescent="0.25">
      <c r="A548" s="158">
        <v>75</v>
      </c>
      <c r="B548" s="158" t="s">
        <v>583</v>
      </c>
      <c r="C548" s="158" t="s">
        <v>103</v>
      </c>
      <c r="D548" s="158" t="s">
        <v>42</v>
      </c>
      <c r="E548" s="158"/>
      <c r="F548" s="158" t="s">
        <v>104</v>
      </c>
      <c r="G548" s="42"/>
      <c r="H548" s="42" t="s">
        <v>852</v>
      </c>
    </row>
    <row r="549" spans="1:8" ht="30" x14ac:dyDescent="0.25">
      <c r="A549" s="158">
        <v>75</v>
      </c>
      <c r="B549" s="178" t="s">
        <v>584</v>
      </c>
      <c r="C549" s="158" t="s">
        <v>22</v>
      </c>
      <c r="D549" s="158" t="s">
        <v>23</v>
      </c>
      <c r="E549" s="158" t="s">
        <v>3</v>
      </c>
      <c r="F549" s="158" t="s">
        <v>8</v>
      </c>
      <c r="G549" s="42"/>
      <c r="H549" s="42" t="s">
        <v>824</v>
      </c>
    </row>
    <row r="550" spans="1:8" ht="45" x14ac:dyDescent="0.25">
      <c r="A550" s="158">
        <v>75</v>
      </c>
      <c r="B550" s="178" t="s">
        <v>585</v>
      </c>
      <c r="C550" s="158" t="s">
        <v>25</v>
      </c>
      <c r="D550" s="158" t="s">
        <v>26</v>
      </c>
      <c r="E550" s="158" t="s">
        <v>27</v>
      </c>
      <c r="F550" s="158" t="s">
        <v>5</v>
      </c>
      <c r="G550" s="42"/>
      <c r="H550" s="42" t="s">
        <v>825</v>
      </c>
    </row>
    <row r="551" spans="1:8" ht="30" x14ac:dyDescent="0.25">
      <c r="A551" s="158">
        <v>75</v>
      </c>
      <c r="B551" s="178" t="s">
        <v>586</v>
      </c>
      <c r="C551" s="158" t="s">
        <v>25</v>
      </c>
      <c r="D551" s="158" t="s">
        <v>26</v>
      </c>
      <c r="E551" s="158" t="s">
        <v>11</v>
      </c>
      <c r="F551" s="158" t="s">
        <v>5</v>
      </c>
      <c r="G551" s="42"/>
      <c r="H551" s="42" t="s">
        <v>827</v>
      </c>
    </row>
    <row r="552" spans="1:8" ht="60" x14ac:dyDescent="0.25">
      <c r="A552" s="158">
        <v>75</v>
      </c>
      <c r="B552" s="178" t="s">
        <v>587</v>
      </c>
      <c r="C552" s="158" t="s">
        <v>25</v>
      </c>
      <c r="D552" s="158" t="s">
        <v>26</v>
      </c>
      <c r="E552" s="158" t="s">
        <v>11</v>
      </c>
      <c r="F552" s="158" t="s">
        <v>5</v>
      </c>
      <c r="G552" s="42"/>
      <c r="H552" s="42" t="s">
        <v>827</v>
      </c>
    </row>
    <row r="553" spans="1:8" ht="30" x14ac:dyDescent="0.25">
      <c r="A553" s="158">
        <v>75</v>
      </c>
      <c r="B553" s="178" t="s">
        <v>588</v>
      </c>
      <c r="C553" s="158" t="s">
        <v>25</v>
      </c>
      <c r="D553" s="158" t="s">
        <v>26</v>
      </c>
      <c r="E553" s="158" t="s">
        <v>29</v>
      </c>
      <c r="F553" s="158" t="s">
        <v>5</v>
      </c>
      <c r="G553" s="42"/>
      <c r="H553" s="42" t="s">
        <v>825</v>
      </c>
    </row>
    <row r="554" spans="1:8" ht="29.25" customHeight="1" x14ac:dyDescent="0.25">
      <c r="A554" s="158">
        <v>75</v>
      </c>
      <c r="B554" s="186" t="s">
        <v>589</v>
      </c>
      <c r="C554" s="180" t="s">
        <v>25</v>
      </c>
      <c r="D554" s="180" t="s">
        <v>26</v>
      </c>
      <c r="E554" s="180" t="s">
        <v>11</v>
      </c>
      <c r="F554" s="158" t="s">
        <v>10</v>
      </c>
      <c r="G554" s="42"/>
      <c r="H554" s="42" t="s">
        <v>825</v>
      </c>
    </row>
    <row r="555" spans="1:8" x14ac:dyDescent="0.25">
      <c r="A555" s="158">
        <v>75</v>
      </c>
      <c r="B555" s="186"/>
      <c r="C555" s="180"/>
      <c r="D555" s="180"/>
      <c r="E555" s="180"/>
      <c r="F555" s="158" t="s">
        <v>5</v>
      </c>
      <c r="G555" s="42"/>
      <c r="H555" s="42"/>
    </row>
    <row r="556" spans="1:8" ht="77.25" x14ac:dyDescent="0.25">
      <c r="A556" s="158">
        <v>75</v>
      </c>
      <c r="B556" s="178" t="s">
        <v>590</v>
      </c>
      <c r="C556" s="158" t="s">
        <v>25</v>
      </c>
      <c r="D556" s="158" t="s">
        <v>26</v>
      </c>
      <c r="E556" s="158" t="s">
        <v>11</v>
      </c>
      <c r="F556" s="158" t="s">
        <v>10</v>
      </c>
      <c r="G556" s="42"/>
      <c r="H556" s="42" t="s">
        <v>825</v>
      </c>
    </row>
    <row r="557" spans="1:8" ht="47.25" x14ac:dyDescent="0.25">
      <c r="A557" s="158">
        <v>75</v>
      </c>
      <c r="B557" s="178" t="s">
        <v>591</v>
      </c>
      <c r="C557" s="158" t="s">
        <v>25</v>
      </c>
      <c r="D557" s="158" t="s">
        <v>26</v>
      </c>
      <c r="E557" s="158" t="s">
        <v>29</v>
      </c>
      <c r="F557" s="158" t="s">
        <v>10</v>
      </c>
      <c r="G557" s="42"/>
      <c r="H557" s="42" t="s">
        <v>825</v>
      </c>
    </row>
    <row r="558" spans="1:8" ht="45" x14ac:dyDescent="0.25">
      <c r="A558" s="158">
        <v>75</v>
      </c>
      <c r="B558" s="178" t="s">
        <v>592</v>
      </c>
      <c r="C558" s="158" t="s">
        <v>82</v>
      </c>
      <c r="D558" s="158" t="s">
        <v>26</v>
      </c>
      <c r="E558" s="158" t="s">
        <v>11</v>
      </c>
      <c r="F558" s="158" t="s">
        <v>10</v>
      </c>
      <c r="G558" s="42"/>
      <c r="H558" s="42" t="s">
        <v>825</v>
      </c>
    </row>
    <row r="559" spans="1:8" ht="30" x14ac:dyDescent="0.25">
      <c r="A559" s="158">
        <v>75</v>
      </c>
      <c r="B559" s="178" t="s">
        <v>98</v>
      </c>
      <c r="C559" s="158"/>
      <c r="D559" s="158" t="s">
        <v>68</v>
      </c>
      <c r="E559" s="158" t="s">
        <v>739</v>
      </c>
      <c r="F559" s="158"/>
      <c r="G559" s="160" t="s">
        <v>689</v>
      </c>
      <c r="H559" s="42"/>
    </row>
    <row r="560" spans="1:8" ht="60" x14ac:dyDescent="0.25">
      <c r="A560" s="158">
        <v>75</v>
      </c>
      <c r="B560" s="178" t="s">
        <v>593</v>
      </c>
      <c r="C560" s="158" t="s">
        <v>25</v>
      </c>
      <c r="D560" s="158" t="s">
        <v>26</v>
      </c>
      <c r="E560" s="158" t="s">
        <v>11</v>
      </c>
      <c r="F560" s="158" t="s">
        <v>10</v>
      </c>
      <c r="G560" s="42"/>
      <c r="H560" s="42" t="s">
        <v>827</v>
      </c>
    </row>
    <row r="561" spans="1:8" ht="30" x14ac:dyDescent="0.25">
      <c r="A561" s="158">
        <v>76</v>
      </c>
      <c r="B561" s="178" t="s">
        <v>594</v>
      </c>
      <c r="C561" s="158" t="s">
        <v>25</v>
      </c>
      <c r="D561" s="158" t="s">
        <v>26</v>
      </c>
      <c r="E561" s="158" t="s">
        <v>212</v>
      </c>
      <c r="F561" s="158" t="s">
        <v>10</v>
      </c>
      <c r="G561" s="42"/>
      <c r="H561" s="42" t="s">
        <v>843</v>
      </c>
    </row>
    <row r="562" spans="1:8" ht="60" x14ac:dyDescent="0.25">
      <c r="A562" s="158">
        <v>76</v>
      </c>
      <c r="B562" s="158" t="s">
        <v>366</v>
      </c>
      <c r="C562" s="158" t="s">
        <v>62</v>
      </c>
      <c r="D562" s="158" t="s">
        <v>63</v>
      </c>
      <c r="E562" s="158" t="s">
        <v>703</v>
      </c>
      <c r="F562" s="158"/>
      <c r="G562" s="42"/>
      <c r="H562" s="42" t="s">
        <v>828</v>
      </c>
    </row>
    <row r="563" spans="1:8" ht="30" x14ac:dyDescent="0.25">
      <c r="A563" s="158">
        <v>76</v>
      </c>
      <c r="B563" s="158" t="s">
        <v>595</v>
      </c>
      <c r="C563" s="158" t="s">
        <v>25</v>
      </c>
      <c r="D563" s="158" t="s">
        <v>26</v>
      </c>
      <c r="E563" s="158" t="s">
        <v>11</v>
      </c>
      <c r="F563" s="158" t="s">
        <v>10</v>
      </c>
      <c r="G563" s="42"/>
      <c r="H563" s="42" t="s">
        <v>825</v>
      </c>
    </row>
    <row r="564" spans="1:8" ht="33" x14ac:dyDescent="0.25">
      <c r="A564" s="158">
        <v>76</v>
      </c>
      <c r="B564" s="158" t="s">
        <v>596</v>
      </c>
      <c r="C564" s="158" t="s">
        <v>22</v>
      </c>
      <c r="D564" s="158" t="s">
        <v>23</v>
      </c>
      <c r="E564" s="158" t="s">
        <v>3</v>
      </c>
      <c r="F564" s="158" t="s">
        <v>8</v>
      </c>
      <c r="G564" s="158" t="s">
        <v>692</v>
      </c>
      <c r="H564" s="158" t="s">
        <v>824</v>
      </c>
    </row>
    <row r="565" spans="1:8" ht="60" x14ac:dyDescent="0.25">
      <c r="A565" s="158">
        <v>76</v>
      </c>
      <c r="B565" s="158" t="s">
        <v>597</v>
      </c>
      <c r="C565" s="158" t="s">
        <v>25</v>
      </c>
      <c r="D565" s="158" t="s">
        <v>26</v>
      </c>
      <c r="E565" s="158" t="s">
        <v>11</v>
      </c>
      <c r="F565" s="158" t="s">
        <v>5</v>
      </c>
      <c r="G565" s="42"/>
      <c r="H565" s="42" t="s">
        <v>825</v>
      </c>
    </row>
    <row r="566" spans="1:8" ht="45" x14ac:dyDescent="0.25">
      <c r="A566" s="158">
        <v>76</v>
      </c>
      <c r="B566" s="158" t="s">
        <v>598</v>
      </c>
      <c r="C566" s="158" t="s">
        <v>22</v>
      </c>
      <c r="D566" s="158" t="s">
        <v>23</v>
      </c>
      <c r="E566" s="158" t="s">
        <v>3</v>
      </c>
      <c r="F566" s="158" t="s">
        <v>8</v>
      </c>
      <c r="G566" s="42"/>
      <c r="H566" s="42" t="s">
        <v>840</v>
      </c>
    </row>
    <row r="567" spans="1:8" x14ac:dyDescent="0.25">
      <c r="A567" s="158">
        <v>76</v>
      </c>
      <c r="B567" s="158" t="s">
        <v>599</v>
      </c>
      <c r="C567" s="158" t="s">
        <v>25</v>
      </c>
      <c r="D567" s="158" t="s">
        <v>26</v>
      </c>
      <c r="E567" s="158" t="s">
        <v>29</v>
      </c>
      <c r="F567" s="158" t="s">
        <v>2</v>
      </c>
      <c r="G567" s="42"/>
      <c r="H567" s="42" t="s">
        <v>825</v>
      </c>
    </row>
    <row r="568" spans="1:8" ht="45" x14ac:dyDescent="0.25">
      <c r="A568" s="158">
        <v>76</v>
      </c>
      <c r="B568" s="158" t="s">
        <v>600</v>
      </c>
      <c r="C568" s="158" t="s">
        <v>22</v>
      </c>
      <c r="D568" s="158" t="s">
        <v>23</v>
      </c>
      <c r="E568" s="158" t="s">
        <v>3</v>
      </c>
      <c r="F568" s="158" t="s">
        <v>8</v>
      </c>
      <c r="G568" s="42"/>
      <c r="H568" s="42" t="s">
        <v>824</v>
      </c>
    </row>
    <row r="569" spans="1:8" ht="30" x14ac:dyDescent="0.25">
      <c r="A569" s="158">
        <v>77</v>
      </c>
      <c r="B569" s="158" t="s">
        <v>601</v>
      </c>
      <c r="C569" s="158" t="s">
        <v>25</v>
      </c>
      <c r="D569" s="158" t="s">
        <v>26</v>
      </c>
      <c r="E569" s="158" t="s">
        <v>29</v>
      </c>
      <c r="F569" s="158" t="s">
        <v>10</v>
      </c>
      <c r="G569" s="42"/>
      <c r="H569" s="42" t="s">
        <v>826</v>
      </c>
    </row>
    <row r="570" spans="1:8" ht="15" customHeight="1" x14ac:dyDescent="0.25">
      <c r="A570" s="158">
        <v>77</v>
      </c>
      <c r="B570" s="178" t="s">
        <v>602</v>
      </c>
      <c r="C570" s="158" t="s">
        <v>25</v>
      </c>
      <c r="D570" s="158" t="s">
        <v>26</v>
      </c>
      <c r="E570" s="158" t="s">
        <v>29</v>
      </c>
      <c r="F570" s="158" t="s">
        <v>2</v>
      </c>
      <c r="G570" s="42"/>
      <c r="H570" s="42" t="s">
        <v>826</v>
      </c>
    </row>
    <row r="571" spans="1:8" ht="45" x14ac:dyDescent="0.25">
      <c r="A571" s="158">
        <v>77</v>
      </c>
      <c r="B571" s="158" t="s">
        <v>603</v>
      </c>
      <c r="C571" s="158" t="s">
        <v>22</v>
      </c>
      <c r="D571" s="158" t="s">
        <v>33</v>
      </c>
      <c r="E571" s="158" t="s">
        <v>698</v>
      </c>
      <c r="F571" s="158"/>
      <c r="G571" s="160" t="s">
        <v>715</v>
      </c>
      <c r="H571" s="42" t="s">
        <v>829</v>
      </c>
    </row>
    <row r="572" spans="1:8" ht="45" x14ac:dyDescent="0.25">
      <c r="A572" s="158">
        <v>77</v>
      </c>
      <c r="B572" s="158" t="s">
        <v>604</v>
      </c>
      <c r="C572" s="158" t="s">
        <v>103</v>
      </c>
      <c r="D572" s="158" t="s">
        <v>42</v>
      </c>
      <c r="E572" s="158"/>
      <c r="F572" s="158" t="s">
        <v>43</v>
      </c>
      <c r="G572" s="160" t="s">
        <v>721</v>
      </c>
      <c r="H572" s="42" t="s">
        <v>854</v>
      </c>
    </row>
    <row r="573" spans="1:8" ht="45" x14ac:dyDescent="0.25">
      <c r="A573" s="158">
        <v>77</v>
      </c>
      <c r="B573" s="158" t="s">
        <v>605</v>
      </c>
      <c r="C573" s="158" t="s">
        <v>22</v>
      </c>
      <c r="D573" s="158" t="s">
        <v>23</v>
      </c>
      <c r="E573" s="158" t="s">
        <v>3</v>
      </c>
      <c r="F573" s="158" t="s">
        <v>8</v>
      </c>
      <c r="G573" s="42"/>
      <c r="H573" s="42" t="s">
        <v>824</v>
      </c>
    </row>
    <row r="574" spans="1:8" ht="60" x14ac:dyDescent="0.25">
      <c r="A574" s="158">
        <v>77</v>
      </c>
      <c r="B574" s="158" t="s">
        <v>606</v>
      </c>
      <c r="C574" s="158" t="s">
        <v>36</v>
      </c>
      <c r="D574" s="158" t="s">
        <v>37</v>
      </c>
      <c r="E574" s="158" t="s">
        <v>131</v>
      </c>
      <c r="F574" s="158" t="s">
        <v>39</v>
      </c>
      <c r="G574" s="158" t="s">
        <v>696</v>
      </c>
      <c r="H574" s="158" t="s">
        <v>840</v>
      </c>
    </row>
    <row r="575" spans="1:8" ht="93" x14ac:dyDescent="0.25">
      <c r="A575" s="158">
        <v>77</v>
      </c>
      <c r="B575" s="158" t="s">
        <v>607</v>
      </c>
      <c r="C575" s="158" t="s">
        <v>62</v>
      </c>
      <c r="D575" s="158" t="s">
        <v>63</v>
      </c>
      <c r="E575" s="158" t="s">
        <v>699</v>
      </c>
      <c r="F575" s="158"/>
      <c r="G575" s="42"/>
      <c r="H575" s="42" t="s">
        <v>828</v>
      </c>
    </row>
    <row r="576" spans="1:8" ht="90" x14ac:dyDescent="0.25">
      <c r="A576" s="158">
        <v>77</v>
      </c>
      <c r="B576" s="178" t="s">
        <v>608</v>
      </c>
      <c r="C576" s="158" t="s">
        <v>22</v>
      </c>
      <c r="D576" s="158" t="s">
        <v>23</v>
      </c>
      <c r="E576" s="158" t="s">
        <v>3</v>
      </c>
      <c r="F576" s="158" t="s">
        <v>8</v>
      </c>
      <c r="G576" s="42"/>
      <c r="H576" s="42" t="s">
        <v>824</v>
      </c>
    </row>
    <row r="577" spans="1:8" ht="60" x14ac:dyDescent="0.25">
      <c r="A577" s="158">
        <v>78</v>
      </c>
      <c r="B577" s="178" t="s">
        <v>609</v>
      </c>
      <c r="C577" s="158" t="s">
        <v>57</v>
      </c>
      <c r="D577" s="158" t="s">
        <v>58</v>
      </c>
      <c r="E577" s="158" t="s">
        <v>59</v>
      </c>
      <c r="F577" s="158" t="s">
        <v>60</v>
      </c>
      <c r="G577" s="185" t="s">
        <v>685</v>
      </c>
      <c r="H577" s="42" t="s">
        <v>860</v>
      </c>
    </row>
    <row r="578" spans="1:8" ht="45" x14ac:dyDescent="0.25">
      <c r="A578" s="158">
        <v>78</v>
      </c>
      <c r="B578" s="158" t="s">
        <v>610</v>
      </c>
      <c r="C578" s="158" t="s">
        <v>36</v>
      </c>
      <c r="D578" s="158" t="s">
        <v>37</v>
      </c>
      <c r="E578" s="158" t="s">
        <v>131</v>
      </c>
      <c r="F578" s="158" t="s">
        <v>39</v>
      </c>
      <c r="G578" s="158" t="s">
        <v>693</v>
      </c>
      <c r="H578" s="158" t="s">
        <v>824</v>
      </c>
    </row>
    <row r="579" spans="1:8" ht="30" x14ac:dyDescent="0.25">
      <c r="A579" s="158">
        <v>78</v>
      </c>
      <c r="B579" s="158" t="s">
        <v>611</v>
      </c>
      <c r="C579" s="158" t="s">
        <v>57</v>
      </c>
      <c r="D579" s="158" t="s">
        <v>58</v>
      </c>
      <c r="E579" s="158" t="s">
        <v>59</v>
      </c>
      <c r="F579" s="158" t="s">
        <v>60</v>
      </c>
      <c r="G579" s="42"/>
      <c r="H579" s="42" t="s">
        <v>832</v>
      </c>
    </row>
    <row r="580" spans="1:8" ht="60" x14ac:dyDescent="0.25">
      <c r="A580" s="158">
        <v>78</v>
      </c>
      <c r="B580" s="158" t="s">
        <v>612</v>
      </c>
      <c r="C580" s="158" t="s">
        <v>25</v>
      </c>
      <c r="D580" s="158" t="s">
        <v>26</v>
      </c>
      <c r="E580" s="158" t="s">
        <v>11</v>
      </c>
      <c r="F580" s="158" t="s">
        <v>10</v>
      </c>
      <c r="G580" s="42"/>
      <c r="H580" s="42" t="s">
        <v>825</v>
      </c>
    </row>
    <row r="581" spans="1:8" ht="165" x14ac:dyDescent="0.25">
      <c r="A581" s="158">
        <v>78</v>
      </c>
      <c r="B581" s="181" t="s">
        <v>613</v>
      </c>
      <c r="C581" s="158" t="s">
        <v>57</v>
      </c>
      <c r="D581" s="158" t="s">
        <v>58</v>
      </c>
      <c r="E581" s="158" t="s">
        <v>59</v>
      </c>
      <c r="F581" s="158" t="s">
        <v>71</v>
      </c>
      <c r="G581" s="42"/>
      <c r="H581" s="42" t="s">
        <v>860</v>
      </c>
    </row>
    <row r="582" spans="1:8" ht="45" x14ac:dyDescent="0.25">
      <c r="A582" s="158">
        <v>79</v>
      </c>
      <c r="B582" s="178" t="s">
        <v>614</v>
      </c>
      <c r="C582" s="158" t="s">
        <v>25</v>
      </c>
      <c r="D582" s="158" t="s">
        <v>26</v>
      </c>
      <c r="E582" s="158" t="s">
        <v>27</v>
      </c>
      <c r="F582" s="158" t="s">
        <v>5</v>
      </c>
      <c r="G582" s="42"/>
      <c r="H582" s="42" t="s">
        <v>827</v>
      </c>
    </row>
    <row r="583" spans="1:8" ht="30" x14ac:dyDescent="0.25">
      <c r="A583" s="158">
        <v>79</v>
      </c>
      <c r="B583" s="178" t="s">
        <v>697</v>
      </c>
      <c r="C583" s="158" t="s">
        <v>57</v>
      </c>
      <c r="D583" s="158" t="s">
        <v>58</v>
      </c>
      <c r="E583" s="158" t="s">
        <v>59</v>
      </c>
      <c r="F583" s="158" t="s">
        <v>71</v>
      </c>
      <c r="G583" s="42"/>
      <c r="H583" s="42" t="s">
        <v>832</v>
      </c>
    </row>
    <row r="584" spans="1:8" ht="30" x14ac:dyDescent="0.25">
      <c r="A584" s="158">
        <v>79</v>
      </c>
      <c r="B584" s="178" t="s">
        <v>615</v>
      </c>
      <c r="C584" s="158" t="s">
        <v>25</v>
      </c>
      <c r="D584" s="158" t="s">
        <v>26</v>
      </c>
      <c r="E584" s="158" t="s">
        <v>11</v>
      </c>
      <c r="F584" s="158" t="s">
        <v>10</v>
      </c>
      <c r="G584" s="42"/>
      <c r="H584" s="42" t="s">
        <v>827</v>
      </c>
    </row>
    <row r="585" spans="1:8" ht="60" x14ac:dyDescent="0.25">
      <c r="A585" s="158">
        <v>79</v>
      </c>
      <c r="B585" s="178" t="s">
        <v>616</v>
      </c>
      <c r="C585" s="158" t="s">
        <v>25</v>
      </c>
      <c r="D585" s="158" t="s">
        <v>26</v>
      </c>
      <c r="E585" s="158" t="s">
        <v>27</v>
      </c>
      <c r="F585" s="158" t="s">
        <v>2</v>
      </c>
      <c r="G585" s="42"/>
      <c r="H585" s="42" t="s">
        <v>825</v>
      </c>
    </row>
    <row r="586" spans="1:8" ht="30" x14ac:dyDescent="0.25">
      <c r="A586" s="158">
        <v>79</v>
      </c>
      <c r="B586" s="178" t="s">
        <v>617</v>
      </c>
      <c r="C586" s="158" t="s">
        <v>36</v>
      </c>
      <c r="D586" s="158" t="s">
        <v>37</v>
      </c>
      <c r="E586" s="158" t="s">
        <v>131</v>
      </c>
      <c r="F586" s="158" t="s">
        <v>39</v>
      </c>
      <c r="G586" s="42"/>
      <c r="H586" s="42" t="s">
        <v>824</v>
      </c>
    </row>
    <row r="587" spans="1:8" ht="45" x14ac:dyDescent="0.25">
      <c r="A587" s="158">
        <v>79</v>
      </c>
      <c r="B587" s="178" t="s">
        <v>618</v>
      </c>
      <c r="C587" s="158" t="s">
        <v>57</v>
      </c>
      <c r="D587" s="158" t="s">
        <v>58</v>
      </c>
      <c r="E587" s="158" t="s">
        <v>59</v>
      </c>
      <c r="F587" s="158" t="s">
        <v>60</v>
      </c>
      <c r="G587" s="42"/>
      <c r="H587" s="42" t="s">
        <v>835</v>
      </c>
    </row>
    <row r="588" spans="1:8" ht="105" x14ac:dyDescent="0.25">
      <c r="A588" s="158">
        <v>79</v>
      </c>
      <c r="B588" s="178" t="s">
        <v>619</v>
      </c>
      <c r="C588" s="158" t="s">
        <v>51</v>
      </c>
      <c r="D588" s="158" t="s">
        <v>23</v>
      </c>
      <c r="E588" s="158" t="s">
        <v>3</v>
      </c>
      <c r="F588" s="158" t="s">
        <v>8</v>
      </c>
      <c r="G588" s="42"/>
      <c r="H588" s="42" t="s">
        <v>824</v>
      </c>
    </row>
    <row r="589" spans="1:8" ht="30" x14ac:dyDescent="0.25">
      <c r="A589" s="158">
        <v>79</v>
      </c>
      <c r="B589" s="178" t="s">
        <v>267</v>
      </c>
      <c r="C589" s="158"/>
      <c r="D589" s="158" t="s">
        <v>68</v>
      </c>
      <c r="E589" s="158" t="s">
        <v>739</v>
      </c>
      <c r="F589" s="158"/>
      <c r="G589" s="160" t="s">
        <v>688</v>
      </c>
      <c r="H589" s="42"/>
    </row>
    <row r="590" spans="1:8" ht="45" x14ac:dyDescent="0.25">
      <c r="A590" s="158">
        <v>79</v>
      </c>
      <c r="B590" s="178" t="s">
        <v>620</v>
      </c>
      <c r="C590" s="158" t="s">
        <v>25</v>
      </c>
      <c r="D590" s="158" t="s">
        <v>26</v>
      </c>
      <c r="E590" s="158" t="s">
        <v>212</v>
      </c>
      <c r="F590" s="158" t="s">
        <v>5</v>
      </c>
      <c r="G590" s="42"/>
      <c r="H590" s="42" t="s">
        <v>825</v>
      </c>
    </row>
    <row r="591" spans="1:8" ht="30" x14ac:dyDescent="0.25">
      <c r="A591" s="158">
        <v>79</v>
      </c>
      <c r="B591" s="178" t="s">
        <v>621</v>
      </c>
      <c r="C591" s="158" t="s">
        <v>82</v>
      </c>
      <c r="D591" s="158" t="s">
        <v>26</v>
      </c>
      <c r="E591" s="158" t="s">
        <v>29</v>
      </c>
      <c r="F591" s="158" t="s">
        <v>5</v>
      </c>
      <c r="G591" s="42"/>
      <c r="H591" s="42" t="s">
        <v>826</v>
      </c>
    </row>
    <row r="592" spans="1:8" ht="30" x14ac:dyDescent="0.25">
      <c r="A592" s="158">
        <v>79</v>
      </c>
      <c r="B592" s="178" t="s">
        <v>221</v>
      </c>
      <c r="C592" s="158"/>
      <c r="D592" s="158" t="s">
        <v>68</v>
      </c>
      <c r="E592" s="158" t="s">
        <v>739</v>
      </c>
      <c r="F592" s="158"/>
      <c r="G592" s="160" t="s">
        <v>689</v>
      </c>
      <c r="H592" s="42"/>
    </row>
    <row r="593" spans="1:8" ht="105" x14ac:dyDescent="0.25">
      <c r="A593" s="158">
        <v>79</v>
      </c>
      <c r="B593" s="178" t="s">
        <v>622</v>
      </c>
      <c r="C593" s="158" t="s">
        <v>22</v>
      </c>
      <c r="D593" s="158" t="s">
        <v>23</v>
      </c>
      <c r="E593" s="158" t="s">
        <v>13</v>
      </c>
      <c r="F593" s="158"/>
      <c r="G593" s="42"/>
      <c r="H593" s="42" t="s">
        <v>824</v>
      </c>
    </row>
    <row r="594" spans="1:8" ht="60" x14ac:dyDescent="0.25">
      <c r="A594" s="158">
        <v>79</v>
      </c>
      <c r="B594" s="178" t="s">
        <v>623</v>
      </c>
      <c r="C594" s="158" t="s">
        <v>62</v>
      </c>
      <c r="D594" s="158" t="s">
        <v>63</v>
      </c>
      <c r="E594" s="158" t="s">
        <v>699</v>
      </c>
      <c r="F594" s="158"/>
      <c r="G594" s="42"/>
      <c r="H594" s="42" t="s">
        <v>828</v>
      </c>
    </row>
    <row r="595" spans="1:8" ht="30" x14ac:dyDescent="0.25">
      <c r="A595" s="158">
        <v>79</v>
      </c>
      <c r="B595" s="178" t="s">
        <v>624</v>
      </c>
      <c r="C595" s="158" t="s">
        <v>82</v>
      </c>
      <c r="D595" s="158" t="s">
        <v>26</v>
      </c>
      <c r="E595" s="158" t="s">
        <v>11</v>
      </c>
      <c r="F595" s="158" t="s">
        <v>10</v>
      </c>
      <c r="G595" s="42"/>
      <c r="H595" s="42" t="s">
        <v>827</v>
      </c>
    </row>
    <row r="596" spans="1:8" ht="30" x14ac:dyDescent="0.25">
      <c r="A596" s="158">
        <v>79</v>
      </c>
      <c r="B596" s="178" t="s">
        <v>88</v>
      </c>
      <c r="C596" s="158"/>
      <c r="D596" s="158" t="s">
        <v>68</v>
      </c>
      <c r="E596" s="158" t="s">
        <v>739</v>
      </c>
      <c r="F596" s="158"/>
      <c r="G596" s="160" t="s">
        <v>689</v>
      </c>
      <c r="H596" s="42"/>
    </row>
    <row r="597" spans="1:8" ht="30" x14ac:dyDescent="0.25">
      <c r="A597" s="158">
        <v>79</v>
      </c>
      <c r="B597" s="178" t="s">
        <v>625</v>
      </c>
      <c r="C597" s="158" t="s">
        <v>25</v>
      </c>
      <c r="D597" s="158" t="s">
        <v>26</v>
      </c>
      <c r="E597" s="158" t="s">
        <v>29</v>
      </c>
      <c r="F597" s="158" t="s">
        <v>10</v>
      </c>
      <c r="G597" s="42"/>
      <c r="H597" s="42" t="s">
        <v>825</v>
      </c>
    </row>
    <row r="598" spans="1:8" ht="74.25" customHeight="1" x14ac:dyDescent="0.25">
      <c r="A598" s="158">
        <v>79</v>
      </c>
      <c r="B598" s="186" t="s">
        <v>626</v>
      </c>
      <c r="C598" s="180" t="s">
        <v>82</v>
      </c>
      <c r="D598" s="180" t="s">
        <v>26</v>
      </c>
      <c r="E598" s="180" t="s">
        <v>27</v>
      </c>
      <c r="F598" s="158" t="s">
        <v>10</v>
      </c>
      <c r="G598" s="42"/>
      <c r="H598" s="42" t="s">
        <v>843</v>
      </c>
    </row>
    <row r="599" spans="1:8" x14ac:dyDescent="0.25">
      <c r="A599" s="158">
        <v>79</v>
      </c>
      <c r="B599" s="186"/>
      <c r="C599" s="180"/>
      <c r="D599" s="180"/>
      <c r="E599" s="180"/>
      <c r="F599" s="158" t="s">
        <v>5</v>
      </c>
      <c r="G599" s="42"/>
      <c r="H599" s="42"/>
    </row>
    <row r="600" spans="1:8" ht="60" x14ac:dyDescent="0.25">
      <c r="A600" s="158">
        <v>79</v>
      </c>
      <c r="B600" s="178" t="s">
        <v>627</v>
      </c>
      <c r="C600" s="158"/>
      <c r="D600" s="158" t="s">
        <v>45</v>
      </c>
      <c r="E600" s="158" t="s">
        <v>741</v>
      </c>
      <c r="F600" s="158"/>
      <c r="G600" s="160" t="s">
        <v>689</v>
      </c>
      <c r="H600" s="42"/>
    </row>
    <row r="601" spans="1:8" ht="45" x14ac:dyDescent="0.25">
      <c r="A601" s="158">
        <v>79</v>
      </c>
      <c r="B601" s="178" t="s">
        <v>628</v>
      </c>
      <c r="C601" s="158" t="s">
        <v>36</v>
      </c>
      <c r="D601" s="158" t="s">
        <v>37</v>
      </c>
      <c r="E601" s="158" t="s">
        <v>131</v>
      </c>
      <c r="F601" s="158" t="s">
        <v>39</v>
      </c>
      <c r="G601" s="42"/>
      <c r="H601" s="42" t="s">
        <v>824</v>
      </c>
    </row>
    <row r="602" spans="1:8" ht="45" x14ac:dyDescent="0.25">
      <c r="A602" s="158">
        <v>80</v>
      </c>
      <c r="B602" s="178" t="s">
        <v>629</v>
      </c>
      <c r="C602" s="158" t="s">
        <v>22</v>
      </c>
      <c r="D602" s="158" t="s">
        <v>23</v>
      </c>
      <c r="E602" s="158" t="s">
        <v>3</v>
      </c>
      <c r="F602" s="158" t="s">
        <v>8</v>
      </c>
      <c r="G602" s="158" t="s">
        <v>730</v>
      </c>
      <c r="H602" s="158" t="s">
        <v>829</v>
      </c>
    </row>
    <row r="603" spans="1:8" ht="60" x14ac:dyDescent="0.25">
      <c r="A603" s="158">
        <v>80</v>
      </c>
      <c r="B603" s="178" t="s">
        <v>630</v>
      </c>
      <c r="C603" s="158" t="s">
        <v>22</v>
      </c>
      <c r="D603" s="158" t="s">
        <v>33</v>
      </c>
      <c r="E603" s="158" t="s">
        <v>699</v>
      </c>
      <c r="F603" s="158"/>
      <c r="G603" s="42"/>
      <c r="H603" s="42" t="s">
        <v>828</v>
      </c>
    </row>
    <row r="604" spans="1:8" ht="60" x14ac:dyDescent="0.25">
      <c r="A604" s="158">
        <v>80</v>
      </c>
      <c r="B604" s="178" t="s">
        <v>631</v>
      </c>
      <c r="C604" s="158" t="s">
        <v>36</v>
      </c>
      <c r="D604" s="158" t="s">
        <v>37</v>
      </c>
      <c r="E604" s="158" t="s">
        <v>38</v>
      </c>
      <c r="F604" s="158" t="s">
        <v>307</v>
      </c>
      <c r="G604" s="42"/>
      <c r="H604" s="42" t="s">
        <v>824</v>
      </c>
    </row>
    <row r="605" spans="1:8" ht="90" x14ac:dyDescent="0.25">
      <c r="A605" s="158">
        <v>80</v>
      </c>
      <c r="B605" s="178" t="s">
        <v>632</v>
      </c>
      <c r="C605" s="158" t="s">
        <v>25</v>
      </c>
      <c r="D605" s="158" t="s">
        <v>26</v>
      </c>
      <c r="E605" s="158" t="s">
        <v>27</v>
      </c>
      <c r="F605" s="158" t="s">
        <v>10</v>
      </c>
      <c r="G605" s="42"/>
      <c r="H605" s="42" t="s">
        <v>825</v>
      </c>
    </row>
    <row r="606" spans="1:8" ht="30" x14ac:dyDescent="0.25">
      <c r="A606" s="158">
        <v>80</v>
      </c>
      <c r="B606" s="178" t="s">
        <v>633</v>
      </c>
      <c r="C606" s="158" t="s">
        <v>25</v>
      </c>
      <c r="D606" s="158" t="s">
        <v>26</v>
      </c>
      <c r="E606" s="158" t="s">
        <v>27</v>
      </c>
      <c r="F606" s="158" t="s">
        <v>10</v>
      </c>
      <c r="G606" s="42"/>
      <c r="H606" s="42" t="s">
        <v>825</v>
      </c>
    </row>
    <row r="607" spans="1:8" ht="60" x14ac:dyDescent="0.25">
      <c r="A607" s="158">
        <v>80</v>
      </c>
      <c r="B607" s="178" t="s">
        <v>634</v>
      </c>
      <c r="C607" s="158" t="s">
        <v>25</v>
      </c>
      <c r="D607" s="158" t="s">
        <v>26</v>
      </c>
      <c r="E607" s="158" t="s">
        <v>11</v>
      </c>
      <c r="F607" s="158" t="s">
        <v>10</v>
      </c>
      <c r="G607" s="42"/>
      <c r="H607" s="42" t="s">
        <v>827</v>
      </c>
    </row>
    <row r="608" spans="1:8" ht="45" x14ac:dyDescent="0.25">
      <c r="A608" s="158">
        <v>80</v>
      </c>
      <c r="B608" s="178" t="s">
        <v>635</v>
      </c>
      <c r="C608" s="158" t="s">
        <v>636</v>
      </c>
      <c r="D608" s="158" t="s">
        <v>23</v>
      </c>
      <c r="E608" s="158" t="s">
        <v>0</v>
      </c>
      <c r="F608" s="158"/>
      <c r="G608" s="160" t="s">
        <v>684</v>
      </c>
      <c r="H608" s="42" t="s">
        <v>831</v>
      </c>
    </row>
    <row r="609" spans="1:8" ht="45" x14ac:dyDescent="0.25">
      <c r="A609" s="158">
        <v>80</v>
      </c>
      <c r="B609" s="178" t="s">
        <v>637</v>
      </c>
      <c r="C609" s="158"/>
      <c r="D609" s="158" t="s">
        <v>68</v>
      </c>
      <c r="E609" s="158" t="s">
        <v>739</v>
      </c>
      <c r="F609" s="158"/>
      <c r="G609" s="160" t="s">
        <v>690</v>
      </c>
      <c r="H609" s="42"/>
    </row>
    <row r="610" spans="1:8" ht="45" x14ac:dyDescent="0.25">
      <c r="A610" s="158">
        <v>80</v>
      </c>
      <c r="B610" s="178" t="s">
        <v>638</v>
      </c>
      <c r="C610" s="158"/>
      <c r="D610" s="158" t="s">
        <v>53</v>
      </c>
      <c r="E610" s="158"/>
      <c r="F610" s="158" t="s">
        <v>738</v>
      </c>
      <c r="G610" s="160" t="s">
        <v>690</v>
      </c>
      <c r="H610" s="42"/>
    </row>
    <row r="611" spans="1:8" ht="45" x14ac:dyDescent="0.25">
      <c r="A611" s="158">
        <v>80</v>
      </c>
      <c r="B611" s="178" t="s">
        <v>639</v>
      </c>
      <c r="C611" s="158"/>
      <c r="D611" s="158" t="s">
        <v>68</v>
      </c>
      <c r="E611" s="158" t="s">
        <v>739</v>
      </c>
      <c r="F611" s="158"/>
      <c r="G611" s="160" t="s">
        <v>690</v>
      </c>
      <c r="H611" s="42"/>
    </row>
    <row r="612" spans="1:8" ht="45" x14ac:dyDescent="0.25">
      <c r="A612" s="158">
        <v>80</v>
      </c>
      <c r="B612" s="178" t="s">
        <v>640</v>
      </c>
      <c r="C612" s="158" t="s">
        <v>25</v>
      </c>
      <c r="D612" s="158" t="s">
        <v>26</v>
      </c>
      <c r="E612" s="158" t="s">
        <v>4</v>
      </c>
      <c r="F612" s="158"/>
      <c r="G612" s="42"/>
      <c r="H612" s="42" t="s">
        <v>826</v>
      </c>
    </row>
    <row r="613" spans="1:8" ht="45" x14ac:dyDescent="0.25">
      <c r="A613" s="158">
        <v>80</v>
      </c>
      <c r="B613" s="178" t="s">
        <v>641</v>
      </c>
      <c r="C613" s="158" t="s">
        <v>22</v>
      </c>
      <c r="D613" s="158" t="s">
        <v>23</v>
      </c>
      <c r="E613" s="158" t="s">
        <v>3</v>
      </c>
      <c r="F613" s="158" t="s">
        <v>8</v>
      </c>
      <c r="G613" s="42"/>
      <c r="H613" s="42" t="s">
        <v>840</v>
      </c>
    </row>
    <row r="614" spans="1:8" ht="92.25" x14ac:dyDescent="0.25">
      <c r="A614" s="158">
        <v>81</v>
      </c>
      <c r="B614" s="178" t="s">
        <v>642</v>
      </c>
      <c r="C614" s="158" t="s">
        <v>62</v>
      </c>
      <c r="D614" s="158" t="s">
        <v>63</v>
      </c>
      <c r="E614" s="158" t="s">
        <v>699</v>
      </c>
      <c r="F614" s="158"/>
      <c r="G614" s="42"/>
      <c r="H614" s="42" t="s">
        <v>828</v>
      </c>
    </row>
    <row r="615" spans="1:8" ht="30" x14ac:dyDescent="0.25">
      <c r="A615" s="158">
        <v>81</v>
      </c>
      <c r="B615" s="158" t="s">
        <v>643</v>
      </c>
      <c r="C615" s="158" t="s">
        <v>25</v>
      </c>
      <c r="D615" s="158" t="s">
        <v>26</v>
      </c>
      <c r="E615" s="158" t="s">
        <v>27</v>
      </c>
      <c r="F615" s="158" t="s">
        <v>5</v>
      </c>
      <c r="G615" s="42"/>
      <c r="H615" s="42" t="s">
        <v>826</v>
      </c>
    </row>
    <row r="616" spans="1:8" ht="30" x14ac:dyDescent="0.25">
      <c r="A616" s="158">
        <v>81</v>
      </c>
      <c r="B616" s="178" t="s">
        <v>644</v>
      </c>
      <c r="C616" s="158" t="s">
        <v>36</v>
      </c>
      <c r="D616" s="158" t="s">
        <v>37</v>
      </c>
      <c r="E616" s="158" t="s">
        <v>131</v>
      </c>
      <c r="F616" s="158" t="s">
        <v>39</v>
      </c>
      <c r="G616" s="42"/>
      <c r="H616" s="42" t="s">
        <v>824</v>
      </c>
    </row>
    <row r="617" spans="1:8" ht="60" x14ac:dyDescent="0.25">
      <c r="A617" s="158">
        <v>81</v>
      </c>
      <c r="B617" s="178" t="s">
        <v>645</v>
      </c>
      <c r="C617" s="158" t="s">
        <v>62</v>
      </c>
      <c r="D617" s="158" t="s">
        <v>63</v>
      </c>
      <c r="E617" s="158" t="s">
        <v>699</v>
      </c>
      <c r="F617" s="158"/>
      <c r="G617" s="42"/>
      <c r="H617" s="42" t="s">
        <v>828</v>
      </c>
    </row>
    <row r="618" spans="1:8" ht="45" x14ac:dyDescent="0.25">
      <c r="A618" s="158">
        <v>81</v>
      </c>
      <c r="B618" s="178" t="s">
        <v>646</v>
      </c>
      <c r="C618" s="158" t="s">
        <v>25</v>
      </c>
      <c r="D618" s="158" t="s">
        <v>26</v>
      </c>
      <c r="E618" s="158" t="s">
        <v>11</v>
      </c>
      <c r="F618" s="158" t="s">
        <v>5</v>
      </c>
      <c r="G618" s="42"/>
      <c r="H618" s="42" t="s">
        <v>825</v>
      </c>
    </row>
    <row r="619" spans="1:8" ht="30" x14ac:dyDescent="0.25">
      <c r="A619" s="158">
        <v>81</v>
      </c>
      <c r="B619" s="178" t="s">
        <v>647</v>
      </c>
      <c r="C619" s="158" t="s">
        <v>82</v>
      </c>
      <c r="D619" s="158" t="s">
        <v>26</v>
      </c>
      <c r="E619" s="158" t="s">
        <v>27</v>
      </c>
      <c r="F619" s="158" t="s">
        <v>10</v>
      </c>
      <c r="G619" s="42"/>
      <c r="H619" s="42" t="s">
        <v>827</v>
      </c>
    </row>
    <row r="620" spans="1:8" ht="30" x14ac:dyDescent="0.25">
      <c r="A620" s="158">
        <v>81</v>
      </c>
      <c r="B620" s="178" t="s">
        <v>98</v>
      </c>
      <c r="C620" s="158"/>
      <c r="D620" s="158" t="s">
        <v>68</v>
      </c>
      <c r="E620" s="158" t="s">
        <v>739</v>
      </c>
      <c r="F620" s="158"/>
      <c r="G620" s="160" t="s">
        <v>689</v>
      </c>
      <c r="H620" s="42"/>
    </row>
    <row r="621" spans="1:8" ht="60" x14ac:dyDescent="0.25">
      <c r="A621" s="158">
        <v>81</v>
      </c>
      <c r="B621" s="158" t="s">
        <v>648</v>
      </c>
      <c r="C621" s="158" t="s">
        <v>348</v>
      </c>
      <c r="D621" s="158" t="s">
        <v>37</v>
      </c>
      <c r="E621" s="158" t="s">
        <v>131</v>
      </c>
      <c r="F621" s="158" t="s">
        <v>39</v>
      </c>
      <c r="G621" s="42"/>
      <c r="H621" s="42" t="s">
        <v>824</v>
      </c>
    </row>
    <row r="622" spans="1:8" ht="30" x14ac:dyDescent="0.25">
      <c r="A622" s="158">
        <v>81</v>
      </c>
      <c r="B622" s="158" t="s">
        <v>649</v>
      </c>
      <c r="C622" s="158"/>
      <c r="D622" s="158" t="s">
        <v>68</v>
      </c>
      <c r="E622" s="158" t="s">
        <v>744</v>
      </c>
      <c r="F622" s="158"/>
      <c r="G622" s="160" t="s">
        <v>688</v>
      </c>
      <c r="H622" s="42"/>
    </row>
    <row r="623" spans="1:8" ht="30" x14ac:dyDescent="0.25">
      <c r="A623" s="158">
        <v>81</v>
      </c>
      <c r="B623" s="158" t="s">
        <v>650</v>
      </c>
      <c r="C623" s="158" t="s">
        <v>25</v>
      </c>
      <c r="D623" s="158" t="s">
        <v>26</v>
      </c>
      <c r="E623" s="158" t="s">
        <v>4</v>
      </c>
      <c r="F623" s="158"/>
      <c r="G623" s="42"/>
      <c r="H623" s="42" t="s">
        <v>827</v>
      </c>
    </row>
    <row r="624" spans="1:8" ht="135" x14ac:dyDescent="0.25">
      <c r="A624" s="158">
        <v>82</v>
      </c>
      <c r="B624" s="158" t="s">
        <v>651</v>
      </c>
      <c r="C624" s="158" t="s">
        <v>25</v>
      </c>
      <c r="D624" s="158" t="s">
        <v>26</v>
      </c>
      <c r="E624" s="158" t="s">
        <v>9</v>
      </c>
      <c r="F624" s="158" t="s">
        <v>10</v>
      </c>
      <c r="G624" s="42"/>
      <c r="H624" s="42" t="s">
        <v>825</v>
      </c>
    </row>
    <row r="625" spans="1:8" ht="45" x14ac:dyDescent="0.25">
      <c r="A625" s="158">
        <v>82</v>
      </c>
      <c r="B625" s="158" t="s">
        <v>652</v>
      </c>
      <c r="C625" s="158" t="s">
        <v>25</v>
      </c>
      <c r="D625" s="158" t="s">
        <v>26</v>
      </c>
      <c r="E625" s="158" t="s">
        <v>29</v>
      </c>
      <c r="F625" s="158" t="s">
        <v>10</v>
      </c>
      <c r="G625" s="158" t="s">
        <v>720</v>
      </c>
      <c r="H625" s="42" t="s">
        <v>841</v>
      </c>
    </row>
    <row r="626" spans="1:8" ht="89.25" customHeight="1" x14ac:dyDescent="0.25">
      <c r="A626" s="158">
        <v>82</v>
      </c>
      <c r="B626" s="178" t="s">
        <v>653</v>
      </c>
      <c r="C626" s="158" t="s">
        <v>36</v>
      </c>
      <c r="D626" s="158" t="s">
        <v>37</v>
      </c>
      <c r="E626" s="158" t="s">
        <v>131</v>
      </c>
      <c r="F626" s="158" t="s">
        <v>39</v>
      </c>
      <c r="G626" s="42"/>
      <c r="H626" s="42" t="s">
        <v>824</v>
      </c>
    </row>
    <row r="627" spans="1:8" ht="30" x14ac:dyDescent="0.25">
      <c r="A627" s="158">
        <v>82</v>
      </c>
      <c r="B627" s="178" t="s">
        <v>654</v>
      </c>
      <c r="C627" s="158" t="s">
        <v>25</v>
      </c>
      <c r="D627" s="158" t="s">
        <v>109</v>
      </c>
      <c r="E627" s="158"/>
      <c r="F627" s="158" t="s">
        <v>10</v>
      </c>
      <c r="G627" s="42"/>
      <c r="H627" s="42" t="s">
        <v>825</v>
      </c>
    </row>
    <row r="628" spans="1:8" ht="89.25" customHeight="1" x14ac:dyDescent="0.25">
      <c r="A628" s="158">
        <v>82</v>
      </c>
      <c r="B628" s="178" t="s">
        <v>655</v>
      </c>
      <c r="C628" s="158" t="s">
        <v>25</v>
      </c>
      <c r="D628" s="158" t="s">
        <v>26</v>
      </c>
      <c r="E628" s="158" t="s">
        <v>11</v>
      </c>
      <c r="F628" s="158" t="s">
        <v>10</v>
      </c>
      <c r="G628" s="42"/>
      <c r="H628" s="42" t="s">
        <v>827</v>
      </c>
    </row>
    <row r="629" spans="1:8" ht="60" x14ac:dyDescent="0.25">
      <c r="A629" s="158">
        <v>82</v>
      </c>
      <c r="B629" s="158" t="s">
        <v>656</v>
      </c>
      <c r="C629" s="158" t="s">
        <v>62</v>
      </c>
      <c r="D629" s="158" t="s">
        <v>63</v>
      </c>
      <c r="E629" s="158" t="s">
        <v>699</v>
      </c>
      <c r="F629" s="158"/>
      <c r="G629" s="42"/>
      <c r="H629" s="42" t="s">
        <v>828</v>
      </c>
    </row>
    <row r="630" spans="1:8" ht="60" x14ac:dyDescent="0.25">
      <c r="A630" s="158">
        <v>82</v>
      </c>
      <c r="B630" s="178" t="s">
        <v>657</v>
      </c>
      <c r="C630" s="158" t="s">
        <v>25</v>
      </c>
      <c r="D630" s="158" t="s">
        <v>26</v>
      </c>
      <c r="E630" s="158" t="s">
        <v>11</v>
      </c>
      <c r="F630" s="158" t="s">
        <v>10</v>
      </c>
      <c r="G630" s="42"/>
      <c r="H630" s="42" t="s">
        <v>825</v>
      </c>
    </row>
    <row r="631" spans="1:8" ht="45" x14ac:dyDescent="0.25">
      <c r="A631" s="158">
        <v>82</v>
      </c>
      <c r="B631" s="178" t="s">
        <v>658</v>
      </c>
      <c r="C631" s="158" t="s">
        <v>348</v>
      </c>
      <c r="D631" s="158" t="s">
        <v>37</v>
      </c>
      <c r="E631" s="158" t="s">
        <v>131</v>
      </c>
      <c r="F631" s="158" t="s">
        <v>39</v>
      </c>
      <c r="G631" s="158" t="s">
        <v>719</v>
      </c>
      <c r="H631" s="158" t="s">
        <v>849</v>
      </c>
    </row>
    <row r="632" spans="1:8" ht="60" x14ac:dyDescent="0.25">
      <c r="A632" s="158">
        <v>82</v>
      </c>
      <c r="B632" s="178" t="s">
        <v>659</v>
      </c>
      <c r="C632" s="158" t="s">
        <v>193</v>
      </c>
      <c r="D632" s="158" t="s">
        <v>63</v>
      </c>
      <c r="E632" s="158" t="s">
        <v>699</v>
      </c>
      <c r="F632" s="158"/>
      <c r="G632" s="42"/>
      <c r="H632" s="42" t="s">
        <v>828</v>
      </c>
    </row>
    <row r="633" spans="1:8" ht="30" x14ac:dyDescent="0.25">
      <c r="A633" s="158">
        <v>82</v>
      </c>
      <c r="B633" s="178" t="s">
        <v>660</v>
      </c>
      <c r="C633" s="158"/>
      <c r="D633" s="158" t="s">
        <v>68</v>
      </c>
      <c r="E633" s="158" t="s">
        <v>739</v>
      </c>
      <c r="F633" s="158"/>
      <c r="G633" s="160" t="s">
        <v>688</v>
      </c>
      <c r="H633" s="42"/>
    </row>
    <row r="634" spans="1:8" ht="45" x14ac:dyDescent="0.25">
      <c r="A634" s="158">
        <v>82</v>
      </c>
      <c r="B634" s="178" t="s">
        <v>661</v>
      </c>
      <c r="C634" s="158"/>
      <c r="D634" s="158" t="s">
        <v>68</v>
      </c>
      <c r="E634" s="158" t="s">
        <v>742</v>
      </c>
      <c r="F634" s="158" t="s">
        <v>749</v>
      </c>
      <c r="G634" s="160" t="s">
        <v>688</v>
      </c>
      <c r="H634" s="42"/>
    </row>
    <row r="635" spans="1:8" ht="60" x14ac:dyDescent="0.25">
      <c r="A635" s="158">
        <v>82</v>
      </c>
      <c r="B635" s="178" t="s">
        <v>662</v>
      </c>
      <c r="C635" s="158" t="s">
        <v>57</v>
      </c>
      <c r="D635" s="158" t="s">
        <v>58</v>
      </c>
      <c r="E635" s="158" t="s">
        <v>59</v>
      </c>
      <c r="F635" s="158" t="s">
        <v>60</v>
      </c>
      <c r="G635" s="42"/>
      <c r="H635" s="42" t="s">
        <v>832</v>
      </c>
    </row>
    <row r="636" spans="1:8" ht="45" x14ac:dyDescent="0.25">
      <c r="A636" s="158">
        <v>82</v>
      </c>
      <c r="B636" s="178" t="s">
        <v>663</v>
      </c>
      <c r="C636" s="158" t="s">
        <v>57</v>
      </c>
      <c r="D636" s="158" t="s">
        <v>58</v>
      </c>
      <c r="E636" s="158" t="s">
        <v>59</v>
      </c>
      <c r="F636" s="158" t="s">
        <v>60</v>
      </c>
      <c r="G636" s="42"/>
      <c r="H636" s="42" t="s">
        <v>832</v>
      </c>
    </row>
    <row r="637" spans="1:8" ht="60" x14ac:dyDescent="0.25">
      <c r="A637" s="158">
        <v>83</v>
      </c>
      <c r="B637" s="178" t="s">
        <v>664</v>
      </c>
      <c r="C637" s="158" t="s">
        <v>62</v>
      </c>
      <c r="D637" s="158" t="s">
        <v>63</v>
      </c>
      <c r="E637" s="158" t="s">
        <v>699</v>
      </c>
      <c r="F637" s="158"/>
      <c r="G637" s="42"/>
      <c r="H637" s="42" t="s">
        <v>828</v>
      </c>
    </row>
    <row r="638" spans="1:8" ht="60" x14ac:dyDescent="0.25">
      <c r="A638" s="158">
        <v>83</v>
      </c>
      <c r="B638" s="178" t="s">
        <v>665</v>
      </c>
      <c r="C638" s="158" t="s">
        <v>57</v>
      </c>
      <c r="D638" s="158" t="s">
        <v>58</v>
      </c>
      <c r="E638" s="158" t="s">
        <v>59</v>
      </c>
      <c r="F638" s="158" t="s">
        <v>60</v>
      </c>
      <c r="G638" s="42"/>
      <c r="H638" s="42" t="s">
        <v>835</v>
      </c>
    </row>
    <row r="639" spans="1:8" ht="45" x14ac:dyDescent="0.25">
      <c r="A639" s="158">
        <v>83</v>
      </c>
      <c r="B639" s="178" t="s">
        <v>666</v>
      </c>
      <c r="C639" s="158" t="s">
        <v>22</v>
      </c>
      <c r="D639" s="158" t="s">
        <v>23</v>
      </c>
      <c r="E639" s="158" t="s">
        <v>3</v>
      </c>
      <c r="F639" s="158" t="s">
        <v>8</v>
      </c>
      <c r="G639" s="42"/>
      <c r="H639" s="42" t="s">
        <v>824</v>
      </c>
    </row>
    <row r="640" spans="1:8" ht="60" x14ac:dyDescent="0.25">
      <c r="A640" s="158">
        <v>83</v>
      </c>
      <c r="B640" s="158" t="s">
        <v>667</v>
      </c>
      <c r="C640" s="158" t="s">
        <v>668</v>
      </c>
      <c r="D640" s="158" t="s">
        <v>23</v>
      </c>
      <c r="E640" s="158" t="s">
        <v>3</v>
      </c>
      <c r="F640" s="158" t="s">
        <v>8</v>
      </c>
      <c r="G640" s="42"/>
      <c r="H640" s="42" t="s">
        <v>831</v>
      </c>
    </row>
    <row r="641" spans="1:8" ht="30" x14ac:dyDescent="0.25">
      <c r="A641" s="158">
        <v>83</v>
      </c>
      <c r="B641" s="158" t="s">
        <v>669</v>
      </c>
      <c r="C641" s="158"/>
      <c r="D641" s="158" t="s">
        <v>68</v>
      </c>
      <c r="E641" s="158" t="s">
        <v>739</v>
      </c>
      <c r="F641" s="158"/>
      <c r="G641" s="160" t="s">
        <v>688</v>
      </c>
      <c r="H641" s="42"/>
    </row>
    <row r="642" spans="1:8" ht="30" x14ac:dyDescent="0.25">
      <c r="A642" s="158">
        <v>83</v>
      </c>
      <c r="B642" s="158" t="s">
        <v>670</v>
      </c>
      <c r="C642" s="158"/>
      <c r="D642" s="158" t="s">
        <v>68</v>
      </c>
      <c r="E642" s="158" t="s">
        <v>739</v>
      </c>
      <c r="F642" s="158"/>
      <c r="G642" s="160" t="s">
        <v>688</v>
      </c>
      <c r="H642" s="42"/>
    </row>
    <row r="643" spans="1:8" ht="30" x14ac:dyDescent="0.25">
      <c r="A643" s="158">
        <v>83</v>
      </c>
      <c r="B643" s="158" t="s">
        <v>671</v>
      </c>
      <c r="C643" s="158"/>
      <c r="D643" s="158" t="s">
        <v>68</v>
      </c>
      <c r="E643" s="158" t="s">
        <v>739</v>
      </c>
      <c r="F643" s="158"/>
      <c r="G643" s="160" t="s">
        <v>688</v>
      </c>
      <c r="H643" s="42"/>
    </row>
    <row r="644" spans="1:8" ht="30" x14ac:dyDescent="0.25">
      <c r="A644" s="158">
        <v>83</v>
      </c>
      <c r="B644" s="158" t="s">
        <v>672</v>
      </c>
      <c r="C644" s="158"/>
      <c r="D644" s="158" t="s">
        <v>68</v>
      </c>
      <c r="E644" s="158" t="s">
        <v>739</v>
      </c>
      <c r="F644" s="158"/>
      <c r="G644" s="160" t="s">
        <v>688</v>
      </c>
      <c r="H644" s="42"/>
    </row>
    <row r="645" spans="1:8" ht="30" x14ac:dyDescent="0.25">
      <c r="A645" s="158">
        <v>83</v>
      </c>
      <c r="B645" s="158" t="s">
        <v>673</v>
      </c>
      <c r="C645" s="158"/>
      <c r="D645" s="158" t="s">
        <v>68</v>
      </c>
      <c r="E645" s="158" t="s">
        <v>739</v>
      </c>
      <c r="F645" s="158"/>
      <c r="G645" s="160" t="s">
        <v>688</v>
      </c>
      <c r="H645" s="42"/>
    </row>
    <row r="646" spans="1:8" x14ac:dyDescent="0.25">
      <c r="A646" s="158">
        <v>84</v>
      </c>
      <c r="B646" s="158"/>
      <c r="C646" s="158"/>
      <c r="D646" s="158"/>
      <c r="E646" s="158"/>
      <c r="F646" s="158"/>
      <c r="G646" s="42"/>
      <c r="H646" s="42"/>
    </row>
  </sheetData>
  <mergeCells count="86">
    <mergeCell ref="B598:B599"/>
    <mergeCell ref="C598:C599"/>
    <mergeCell ref="D598:D599"/>
    <mergeCell ref="E598:E599"/>
    <mergeCell ref="C513:C514"/>
    <mergeCell ref="D513:D514"/>
    <mergeCell ref="E513:E514"/>
    <mergeCell ref="F482:F484"/>
    <mergeCell ref="C495:C496"/>
    <mergeCell ref="D495:D496"/>
    <mergeCell ref="E495:E496"/>
    <mergeCell ref="F495:F496"/>
    <mergeCell ref="F513:F514"/>
    <mergeCell ref="B554:B555"/>
    <mergeCell ref="C554:C555"/>
    <mergeCell ref="D554:D555"/>
    <mergeCell ref="E554:E555"/>
    <mergeCell ref="B404:B405"/>
    <mergeCell ref="C404:C405"/>
    <mergeCell ref="D404:D405"/>
    <mergeCell ref="E404:E405"/>
    <mergeCell ref="C482:C484"/>
    <mergeCell ref="D482:D484"/>
    <mergeCell ref="E482:E484"/>
    <mergeCell ref="B399:B400"/>
    <mergeCell ref="C399:C400"/>
    <mergeCell ref="D399:D400"/>
    <mergeCell ref="E399:E400"/>
    <mergeCell ref="B402:B403"/>
    <mergeCell ref="C402:C403"/>
    <mergeCell ref="D402:D403"/>
    <mergeCell ref="E402:E403"/>
    <mergeCell ref="B368:B369"/>
    <mergeCell ref="C368:C369"/>
    <mergeCell ref="D368:D369"/>
    <mergeCell ref="F368:F369"/>
    <mergeCell ref="B384:B385"/>
    <mergeCell ref="C384:C385"/>
    <mergeCell ref="D384:D385"/>
    <mergeCell ref="E384:E385"/>
    <mergeCell ref="B262:B263"/>
    <mergeCell ref="C262:C263"/>
    <mergeCell ref="D262:D263"/>
    <mergeCell ref="E262:E263"/>
    <mergeCell ref="B345:B346"/>
    <mergeCell ref="C345:C346"/>
    <mergeCell ref="D345:D346"/>
    <mergeCell ref="E345:E346"/>
    <mergeCell ref="B237:B238"/>
    <mergeCell ref="C237:C238"/>
    <mergeCell ref="D237:D238"/>
    <mergeCell ref="F237:F238"/>
    <mergeCell ref="B244:B245"/>
    <mergeCell ref="C244:C245"/>
    <mergeCell ref="D244:D245"/>
    <mergeCell ref="F244:F245"/>
    <mergeCell ref="C185:C186"/>
    <mergeCell ref="D185:D186"/>
    <mergeCell ref="E185:E186"/>
    <mergeCell ref="F185:F186"/>
    <mergeCell ref="B206:B207"/>
    <mergeCell ref="C206:C207"/>
    <mergeCell ref="D206:D207"/>
    <mergeCell ref="E206:E207"/>
    <mergeCell ref="B37:B38"/>
    <mergeCell ref="C37:C38"/>
    <mergeCell ref="D37:D38"/>
    <mergeCell ref="E37:E38"/>
    <mergeCell ref="B85:B86"/>
    <mergeCell ref="C85:C86"/>
    <mergeCell ref="D85:D86"/>
    <mergeCell ref="F85:F86"/>
    <mergeCell ref="B165:B166"/>
    <mergeCell ref="C165:C166"/>
    <mergeCell ref="D165:D166"/>
    <mergeCell ref="E165:E166"/>
    <mergeCell ref="B20:B21"/>
    <mergeCell ref="C20:C21"/>
    <mergeCell ref="D20:D21"/>
    <mergeCell ref="E20:E21"/>
    <mergeCell ref="F20:F21"/>
    <mergeCell ref="B22:B23"/>
    <mergeCell ref="C22:C23"/>
    <mergeCell ref="D22:D23"/>
    <mergeCell ref="E22:E23"/>
    <mergeCell ref="F22:F2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0"/>
  <sheetViews>
    <sheetView workbookViewId="0"/>
  </sheetViews>
  <sheetFormatPr defaultRowHeight="15" x14ac:dyDescent="0.25"/>
  <cols>
    <col min="1" max="1" width="20" customWidth="1"/>
    <col min="2" max="2" width="13.7109375" customWidth="1"/>
    <col min="3" max="3" width="16.42578125" customWidth="1"/>
    <col min="4" max="4" width="14.28515625" customWidth="1"/>
    <col min="5" max="5" width="15.85546875" customWidth="1"/>
    <col min="6" max="6" width="16.5703125" customWidth="1"/>
    <col min="7" max="7" width="17.5703125" customWidth="1"/>
    <col min="8" max="8" width="20.42578125" customWidth="1"/>
    <col min="9" max="9" width="17.85546875" customWidth="1"/>
    <col min="10" max="10" width="14.85546875" customWidth="1"/>
    <col min="11" max="11" width="14.28515625" customWidth="1"/>
    <col min="12" max="12" width="17.7109375" bestFit="1" customWidth="1"/>
    <col min="13" max="13" width="14.7109375" bestFit="1" customWidth="1"/>
    <col min="16" max="16" width="15.42578125" bestFit="1" customWidth="1"/>
    <col min="17" max="19" width="14.7109375" bestFit="1" customWidth="1"/>
  </cols>
  <sheetData>
    <row r="1" spans="1:13" ht="15.75" thickBot="1" x14ac:dyDescent="0.3">
      <c r="A1" s="18" t="s">
        <v>752</v>
      </c>
      <c r="B1" s="19"/>
      <c r="C1" s="20"/>
      <c r="D1" s="21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22" t="s">
        <v>15</v>
      </c>
      <c r="B2" s="23" t="s">
        <v>16</v>
      </c>
      <c r="C2" s="24" t="s">
        <v>753</v>
      </c>
      <c r="D2" s="25" t="s">
        <v>17</v>
      </c>
      <c r="E2" s="2"/>
      <c r="F2" s="2"/>
      <c r="G2" s="2"/>
      <c r="H2" s="2"/>
      <c r="I2" s="2"/>
      <c r="J2" s="2"/>
      <c r="K2" s="2"/>
      <c r="L2" s="2"/>
      <c r="M2" s="2"/>
    </row>
    <row r="3" spans="1:13" ht="15.75" thickBot="1" x14ac:dyDescent="0.3">
      <c r="A3" s="104">
        <f>COUNTIF(Tabela!C:C,"*imediata*")</f>
        <v>242</v>
      </c>
      <c r="B3" s="105">
        <f>COUNTIF(Tabela!C:C,"*mediata*")-A3-G7</f>
        <v>243</v>
      </c>
      <c r="C3" s="106">
        <f>COUNTIF(Tabela!C:C,"*(~*)mediata*") + COUNTIF(Tabela!C:C,"*#mediata*") + COUNTIF(Tabela!C:C,"*$mediata*") + COUNTIF(Tabela!C:C,"*&amp;mediata*") + COUNTIF(Tabela!C:C,"*/mediata*") + COUNTIF(Tabela!C:C,"*}mediata*")</f>
        <v>62</v>
      </c>
      <c r="D3" s="143">
        <f>COUNTIF(Tabela!C:C,"*mediata*")</f>
        <v>547</v>
      </c>
      <c r="E3" s="2"/>
      <c r="F3" s="2"/>
      <c r="G3" s="2"/>
      <c r="H3" s="2"/>
      <c r="I3" s="2"/>
      <c r="J3" s="2"/>
      <c r="K3" s="2"/>
      <c r="L3" s="2"/>
      <c r="M3" s="2"/>
    </row>
    <row r="4" spans="1:13" ht="15.75" thickBot="1" x14ac:dyDescent="0.3">
      <c r="A4" s="9"/>
      <c r="B4" s="9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thickBot="1" x14ac:dyDescent="0.3">
      <c r="A5" s="28" t="s">
        <v>754</v>
      </c>
      <c r="B5" s="29"/>
      <c r="C5" s="29"/>
      <c r="D5" s="29"/>
      <c r="E5" s="29"/>
      <c r="F5" s="29"/>
      <c r="G5" s="30"/>
      <c r="H5" s="2"/>
      <c r="I5" s="2"/>
      <c r="J5" s="2"/>
      <c r="K5" s="2"/>
      <c r="L5" s="2"/>
      <c r="M5" s="2"/>
    </row>
    <row r="6" spans="1:13" ht="30" x14ac:dyDescent="0.25">
      <c r="A6" s="107" t="s">
        <v>780</v>
      </c>
      <c r="B6" s="87" t="s">
        <v>781</v>
      </c>
      <c r="C6" s="87" t="s">
        <v>782</v>
      </c>
      <c r="D6" s="14" t="s">
        <v>783</v>
      </c>
      <c r="E6" s="14" t="s">
        <v>784</v>
      </c>
      <c r="F6" s="108" t="s">
        <v>785</v>
      </c>
      <c r="G6" s="15" t="s">
        <v>17</v>
      </c>
      <c r="H6" s="2"/>
      <c r="I6" s="2"/>
      <c r="J6" s="2"/>
      <c r="K6" s="2"/>
      <c r="L6" s="2"/>
      <c r="M6" s="2"/>
    </row>
    <row r="7" spans="1:13" ht="15.75" thickBot="1" x14ac:dyDescent="0.3">
      <c r="A7" s="26">
        <f>COUNTIF(Tabela!C:C,"*(~*)mediata*")</f>
        <v>26</v>
      </c>
      <c r="B7" s="27">
        <f>COUNTIF(Tabela!C:C,"*&amp;mediata*")</f>
        <v>2</v>
      </c>
      <c r="C7" s="27">
        <f>COUNTIF(Tabela!C:C,"*$mediata*")</f>
        <v>19</v>
      </c>
      <c r="D7" s="27">
        <f>COUNTIF(Tabela!C:C,"*#mediata*")</f>
        <v>13</v>
      </c>
      <c r="E7" s="27">
        <f>COUNTIF(Tabela!C:C,"*/mediata*")</f>
        <v>2</v>
      </c>
      <c r="F7" s="27">
        <f>COUNTIF(Tabela!C:C,"*}mediata*")</f>
        <v>0</v>
      </c>
      <c r="G7" s="109">
        <f>SUM(A7:F7)</f>
        <v>62</v>
      </c>
      <c r="H7" s="2"/>
      <c r="I7" s="2"/>
      <c r="J7" s="2"/>
      <c r="K7" s="2"/>
      <c r="L7" s="2"/>
      <c r="M7" s="2"/>
    </row>
    <row r="8" spans="1:13" ht="15.75" thickBot="1" x14ac:dyDescent="0.3">
      <c r="A8" s="9"/>
      <c r="B8" s="9"/>
      <c r="C8" s="9"/>
      <c r="D8" s="9"/>
      <c r="E8" s="9"/>
      <c r="F8" s="9"/>
      <c r="G8" s="9"/>
      <c r="H8" s="2"/>
      <c r="I8" s="2"/>
      <c r="J8" s="2"/>
      <c r="K8" s="2"/>
      <c r="L8" s="2"/>
      <c r="M8" s="2"/>
    </row>
    <row r="9" spans="1:13" ht="15.75" thickBot="1" x14ac:dyDescent="0.3">
      <c r="A9" s="33" t="s">
        <v>755</v>
      </c>
      <c r="B9" s="34"/>
      <c r="C9" s="34"/>
      <c r="D9" s="35"/>
      <c r="E9" s="9"/>
      <c r="F9" s="9"/>
      <c r="G9" s="9"/>
      <c r="H9" s="2"/>
      <c r="I9" s="2"/>
      <c r="J9" s="2"/>
      <c r="K9" s="2"/>
      <c r="L9" s="2"/>
      <c r="M9" s="2"/>
    </row>
    <row r="10" spans="1:13" x14ac:dyDescent="0.25">
      <c r="A10" s="22" t="s">
        <v>756</v>
      </c>
      <c r="B10" s="23" t="s">
        <v>757</v>
      </c>
      <c r="C10" s="24" t="s">
        <v>753</v>
      </c>
      <c r="D10" s="36" t="s">
        <v>17</v>
      </c>
      <c r="E10" s="9"/>
      <c r="F10" s="9"/>
      <c r="G10" s="9"/>
      <c r="H10" s="2"/>
      <c r="I10" s="2"/>
      <c r="J10" s="2"/>
      <c r="K10" s="2"/>
      <c r="L10" s="2"/>
      <c r="M10" s="2"/>
    </row>
    <row r="11" spans="1:13" ht="15.75" thickBot="1" x14ac:dyDescent="0.3">
      <c r="A11" s="26">
        <f>COUNTIF(Tabela!C:C,"*imediata+*")</f>
        <v>16</v>
      </c>
      <c r="B11" s="27">
        <f>COUNTIF(Tabela!C:C,"*mediata+*")-A11 - C11</f>
        <v>45</v>
      </c>
      <c r="C11" s="27">
        <f>COUNTIF(Tabela!C:C,"*(~*)mediata+*") + COUNTIF(Tabela!C:C,"*#mediata+*") + COUNTIF(Tabela!C:C,"*$mediata+*") + COUNTIF(Tabela!C:C,"*&amp;mediata+*") + COUNTIF(Tabela!C:C,"*/mediata+*") + COUNTIF(Tabela!C:C,"*}mediata+*")</f>
        <v>2</v>
      </c>
      <c r="D11" s="32">
        <f>SUM(A11:C11)</f>
        <v>63</v>
      </c>
      <c r="E11" s="9"/>
      <c r="F11" s="9"/>
      <c r="G11" s="9"/>
      <c r="H11" s="2"/>
      <c r="I11" s="2"/>
      <c r="J11" s="2"/>
      <c r="K11" s="2"/>
      <c r="L11" s="2"/>
      <c r="M11" s="2"/>
    </row>
    <row r="12" spans="1:13" ht="15.75" thickBot="1" x14ac:dyDescent="0.3">
      <c r="A12" s="9"/>
      <c r="B12" s="9"/>
      <c r="C12" s="9"/>
      <c r="D12" s="9"/>
      <c r="E12" s="9"/>
      <c r="F12" s="9"/>
      <c r="G12" s="9"/>
      <c r="H12" s="2"/>
      <c r="I12" s="2"/>
      <c r="J12" s="2"/>
      <c r="K12" s="2"/>
      <c r="L12" s="2"/>
      <c r="M12" s="2"/>
    </row>
    <row r="13" spans="1:13" ht="15.75" thickBot="1" x14ac:dyDescent="0.3">
      <c r="A13" s="33" t="s">
        <v>758</v>
      </c>
      <c r="B13" s="34"/>
      <c r="C13" s="34"/>
      <c r="D13" s="34"/>
      <c r="E13" s="34"/>
      <c r="F13" s="34"/>
      <c r="G13" s="35"/>
      <c r="H13" s="9"/>
      <c r="I13" s="9"/>
      <c r="J13" s="2"/>
      <c r="K13" s="2"/>
      <c r="L13" s="2"/>
      <c r="M13" s="2"/>
    </row>
    <row r="14" spans="1:13" x14ac:dyDescent="0.25">
      <c r="A14" s="39"/>
      <c r="B14" s="40" t="s">
        <v>786</v>
      </c>
      <c r="C14" s="40" t="s">
        <v>761</v>
      </c>
      <c r="D14" s="40" t="s">
        <v>787</v>
      </c>
      <c r="E14" s="40" t="s">
        <v>763</v>
      </c>
      <c r="F14" s="40" t="s">
        <v>764</v>
      </c>
      <c r="G14" s="36" t="s">
        <v>765</v>
      </c>
      <c r="H14" s="9"/>
      <c r="I14" s="9"/>
      <c r="J14" s="9"/>
      <c r="K14" s="9"/>
      <c r="L14" s="9"/>
      <c r="M14" s="2"/>
    </row>
    <row r="15" spans="1:13" x14ac:dyDescent="0.25">
      <c r="A15" s="41" t="s">
        <v>756</v>
      </c>
      <c r="B15" s="42">
        <f>COUNTIF(Tabela!D:D,"*i_ad*")</f>
        <v>0</v>
      </c>
      <c r="C15" s="42">
        <f>COUNTIF(Tabela!D:D,"*i_sup*")</f>
        <v>8</v>
      </c>
      <c r="D15" s="42">
        <f>COUNTIF(Tabela!D:D,"*i_sub*")</f>
        <v>234</v>
      </c>
      <c r="E15" s="42">
        <f>COUNTIF(Tabela!D:D,"*i_reord*")</f>
        <v>0</v>
      </c>
      <c r="F15" s="42">
        <f>SUM(B15:E15)</f>
        <v>242</v>
      </c>
      <c r="G15" s="10">
        <f>COUNTIF(Tabela!D:D,"*i_*")</f>
        <v>242</v>
      </c>
      <c r="H15" s="9"/>
      <c r="I15" s="9"/>
      <c r="J15" s="9"/>
      <c r="K15" s="9"/>
      <c r="L15" s="9"/>
      <c r="M15" s="2"/>
    </row>
    <row r="16" spans="1:13" x14ac:dyDescent="0.25">
      <c r="A16" s="41" t="s">
        <v>757</v>
      </c>
      <c r="B16" s="42">
        <f>COUNTIF(Tabela!D:D,"*m_ad*")-B22-B17</f>
        <v>101</v>
      </c>
      <c r="C16" s="42">
        <f>COUNTIF(Tabela!D:D,"*m_sup*")-C22-C17</f>
        <v>8</v>
      </c>
      <c r="D16" s="42">
        <f>COUNTIF(Tabela!D:D,"*m_sub*")-D22-D17</f>
        <v>133</v>
      </c>
      <c r="E16" s="42">
        <f>COUNTIF(Tabela!D:D,"*m_reord*")-E22-E17</f>
        <v>1</v>
      </c>
      <c r="F16" s="42">
        <f t="shared" ref="F16:F17" si="0">SUM(B16:E16)</f>
        <v>243</v>
      </c>
      <c r="G16" s="10">
        <f>COUNTIF(Tabela!D:D,"*m_*")-G17-G22</f>
        <v>243</v>
      </c>
      <c r="H16" s="9"/>
      <c r="I16" s="9"/>
      <c r="J16" s="9"/>
      <c r="K16" s="9"/>
      <c r="L16" s="9"/>
      <c r="M16" s="2"/>
    </row>
    <row r="17" spans="1:19" x14ac:dyDescent="0.25">
      <c r="A17" s="41" t="s">
        <v>753</v>
      </c>
      <c r="B17" s="42">
        <f>COUNTIF(Tabela!D:D,"*(~*)m_ad*") + COUNTIF(Tabela!D:D,"*#m_ad*") + COUNTIF(Tabela!D:D,"*$m_ad*") + COUNTIF(Tabela!D:D,"*&amp;m_ad*") + COUNTIF(Tabela!D:D,"*/m_ad*") + COUNTIF(Tabela!D:D,"*}m_ad*")</f>
        <v>0</v>
      </c>
      <c r="C17" s="42">
        <f>COUNTIF(Tabela!D:D,"*(~*)m_sup*") + COUNTIF(Tabela!D:D,"*#m_sup*") + COUNTIF(Tabela!D:D,"*$m_sup*") + COUNTIF(Tabela!D:D,"*&amp;m_sup*") + COUNTIF(Tabela!D:D,"*/m_sup*") + COUNTIF(Tabela!D:D,"*}m_sup*")</f>
        <v>13</v>
      </c>
      <c r="D17" s="42">
        <f>COUNTIF(Tabela!D:D,"*(~*)m_sub*") + COUNTIF(Tabela!D:D,"*#m_sub*") + COUNTIF(Tabela!D:D,"*$m_sub*") + COUNTIF(Tabela!D:D,"*&amp;m_sub*") + COUNTIF(Tabela!D:D,"*/m_sub*") + COUNTIF(Tabela!D:D,"*}m_sub*")</f>
        <v>47</v>
      </c>
      <c r="E17" s="42">
        <f>COUNTIF(Tabela!D:D,"*(~*)m_reord*") + COUNTIF(Tabela!D:D,"*#m_reord*") + COUNTIF(Tabela!D:D,"*$m_reord*") + COUNTIF(Tabela!D:D,"*&amp;m_reord*") + COUNTIF(Tabela!D:D,"*/m_reord*") + COUNTIF(Tabela!D:D,"*}m_reord*")</f>
        <v>2</v>
      </c>
      <c r="F17" s="42">
        <f t="shared" si="0"/>
        <v>62</v>
      </c>
      <c r="G17" s="10">
        <f>COUNTIF(Tabela!D:D,"*(~*)m_*") + COUNTIF(Tabela!D:D,"*#m_*") + COUNTIF(Tabela!D:D,"*$m_*") + COUNTIF(Tabela!D:D,"*&amp;m_*") + COUNTIF(Tabela!D:D,"*/m_*") + COUNTIF(Tabela!D:D,"*}m_*")</f>
        <v>62</v>
      </c>
      <c r="H17" s="9"/>
      <c r="I17" s="9"/>
      <c r="J17" s="9"/>
      <c r="K17" s="9"/>
      <c r="L17" s="9"/>
      <c r="M17" s="2"/>
    </row>
    <row r="18" spans="1:19" ht="15.75" thickBot="1" x14ac:dyDescent="0.3">
      <c r="A18" s="26" t="s">
        <v>17</v>
      </c>
      <c r="B18" s="27">
        <f>SUM(B15:B17)</f>
        <v>101</v>
      </c>
      <c r="C18" s="27">
        <f t="shared" ref="C18:F18" si="1">SUM(C15:C17)</f>
        <v>29</v>
      </c>
      <c r="D18" s="27">
        <f t="shared" si="1"/>
        <v>414</v>
      </c>
      <c r="E18" s="27">
        <f t="shared" si="1"/>
        <v>3</v>
      </c>
      <c r="F18" s="27">
        <f t="shared" si="1"/>
        <v>547</v>
      </c>
      <c r="G18" s="32">
        <f>SUM(G15:G17)</f>
        <v>547</v>
      </c>
      <c r="H18" s="9"/>
      <c r="I18" s="9"/>
      <c r="J18" s="9"/>
      <c r="K18" s="9"/>
      <c r="L18" s="9"/>
      <c r="M18" s="2"/>
    </row>
    <row r="19" spans="1:19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2"/>
    </row>
    <row r="20" spans="1:19" ht="15.75" thickBot="1" x14ac:dyDescent="0.3">
      <c r="A20" s="33" t="s">
        <v>759</v>
      </c>
      <c r="B20" s="43"/>
      <c r="C20" s="43"/>
      <c r="D20" s="43"/>
      <c r="E20" s="34"/>
      <c r="F20" s="34"/>
      <c r="G20" s="35"/>
      <c r="H20" s="9"/>
      <c r="I20" s="9"/>
      <c r="J20" s="9"/>
      <c r="K20" s="9"/>
      <c r="L20" s="9"/>
      <c r="M20" s="9"/>
      <c r="N20" s="16"/>
      <c r="O20" s="16"/>
      <c r="P20" s="16"/>
      <c r="Q20" s="16"/>
      <c r="R20" s="16"/>
      <c r="S20" s="16"/>
    </row>
    <row r="21" spans="1:19" ht="20.25" customHeight="1" x14ac:dyDescent="0.25">
      <c r="A21" s="44"/>
      <c r="B21" s="45" t="s">
        <v>760</v>
      </c>
      <c r="C21" s="45" t="s">
        <v>761</v>
      </c>
      <c r="D21" s="45" t="s">
        <v>762</v>
      </c>
      <c r="E21" s="23" t="s">
        <v>763</v>
      </c>
      <c r="F21" s="46" t="s">
        <v>764</v>
      </c>
      <c r="G21" s="47" t="s">
        <v>765</v>
      </c>
      <c r="H21" s="9"/>
      <c r="I21" s="9"/>
      <c r="J21" s="9"/>
      <c r="K21" s="9"/>
      <c r="L21" s="9"/>
      <c r="M21" s="9"/>
      <c r="N21" s="16"/>
      <c r="O21" s="16"/>
      <c r="P21" s="16"/>
      <c r="Q21" s="16"/>
      <c r="R21" s="16"/>
      <c r="S21" s="16"/>
    </row>
    <row r="22" spans="1:19" ht="15.75" thickBot="1" x14ac:dyDescent="0.3">
      <c r="A22" s="8" t="s">
        <v>757</v>
      </c>
      <c r="B22" s="27">
        <f>COUNTIF(Tabela!D:D,"*(g)m_ad*")</f>
        <v>15</v>
      </c>
      <c r="C22" s="27">
        <f>COUNTIF(Tabela!D:D,"*(g)m_sup*")</f>
        <v>9</v>
      </c>
      <c r="D22" s="27">
        <f>COUNTIF(Tabela!D:D,"*(g)m_sub*")</f>
        <v>51</v>
      </c>
      <c r="E22" s="27">
        <f>COUNTIF(Tabela!D:D,"*(g)m_reord*")</f>
        <v>0</v>
      </c>
      <c r="F22" s="12">
        <f>SUM(B22:E22)</f>
        <v>75</v>
      </c>
      <c r="G22" s="111">
        <f>COUNTIF(Tabela!D:D,"*(g)m_*")</f>
        <v>75</v>
      </c>
      <c r="H22" s="9"/>
      <c r="I22" s="9"/>
      <c r="J22" s="9"/>
      <c r="K22" s="9"/>
      <c r="L22" s="9"/>
      <c r="M22" s="9"/>
      <c r="N22" s="16"/>
      <c r="O22" s="16"/>
      <c r="P22" s="16"/>
      <c r="Q22" s="16"/>
      <c r="R22" s="16"/>
      <c r="S22" s="16"/>
    </row>
    <row r="23" spans="1:19" ht="15.75" thickBot="1" x14ac:dyDescent="0.3">
      <c r="A23" s="48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16"/>
      <c r="O23" s="16"/>
      <c r="P23" s="16"/>
      <c r="Q23" s="16"/>
      <c r="R23" s="16"/>
      <c r="S23" s="16"/>
    </row>
    <row r="24" spans="1:19" ht="15.75" thickBot="1" x14ac:dyDescent="0.3">
      <c r="A24" s="164" t="s">
        <v>870</v>
      </c>
      <c r="B24" s="165"/>
      <c r="C24" s="165"/>
      <c r="D24" s="165"/>
      <c r="E24" s="165"/>
      <c r="F24" s="166"/>
      <c r="G24" s="2"/>
      <c r="H24" s="56" t="s">
        <v>884</v>
      </c>
      <c r="I24" s="57"/>
      <c r="J24" s="57"/>
      <c r="K24" s="58"/>
    </row>
    <row r="25" spans="1:19" x14ac:dyDescent="0.25">
      <c r="A25" s="44"/>
      <c r="B25" s="24" t="s">
        <v>788</v>
      </c>
      <c r="C25" s="24" t="s">
        <v>789</v>
      </c>
      <c r="D25" s="24" t="s">
        <v>790</v>
      </c>
      <c r="E25" s="24" t="s">
        <v>871</v>
      </c>
      <c r="F25" s="36" t="s">
        <v>17</v>
      </c>
      <c r="H25" s="44"/>
      <c r="I25" s="24" t="s">
        <v>761</v>
      </c>
      <c r="J25" s="24" t="s">
        <v>787</v>
      </c>
      <c r="K25" s="138" t="s">
        <v>17</v>
      </c>
    </row>
    <row r="26" spans="1:19" x14ac:dyDescent="0.25">
      <c r="A26" s="7" t="s">
        <v>756</v>
      </c>
      <c r="B26" s="6">
        <f>COUNTIF(Tabela!F:F,"*I_enrolado*")</f>
        <v>91</v>
      </c>
      <c r="C26" s="6">
        <f>COUNTIF(Tabela!F:F,"*I_dir*")</f>
        <v>98</v>
      </c>
      <c r="D26" s="6">
        <f>COUNTIF(Tabela!F:F,"*I_obl*")</f>
        <v>21</v>
      </c>
      <c r="E26" s="6">
        <f>COUNTIF(Tabela!F:F,"*I_riscado*")</f>
        <v>0</v>
      </c>
      <c r="F26" s="11">
        <f>SUM(B26:E26)</f>
        <v>210</v>
      </c>
      <c r="H26" s="7" t="s">
        <v>788</v>
      </c>
      <c r="I26" s="6">
        <f>COUNTIF(Tabela!F:F,"*enrolado_sup*")</f>
        <v>1</v>
      </c>
      <c r="J26" s="6">
        <f>COUNTIF(Tabela!F:F,"*enrolado*") - I26</f>
        <v>129</v>
      </c>
      <c r="K26" s="110">
        <f>SUM(I26:J26)</f>
        <v>130</v>
      </c>
    </row>
    <row r="27" spans="1:19" x14ac:dyDescent="0.25">
      <c r="A27" s="7" t="s">
        <v>757</v>
      </c>
      <c r="B27" s="6">
        <f>COUNTIF(Tabela!F:F,"*M_enrolado*") - B28</f>
        <v>29</v>
      </c>
      <c r="C27" s="6">
        <f>COUNTIF(Tabela!F:F,"*M_dir*") - C28</f>
        <v>94</v>
      </c>
      <c r="D27" s="6">
        <f>COUNTIF(Tabela!F:F,"*M_obl*") - D28</f>
        <v>29</v>
      </c>
      <c r="E27" s="6">
        <f>COUNTIF(Tabela!F:F,"*M_riscado*") - E28</f>
        <v>1</v>
      </c>
      <c r="F27" s="11">
        <f t="shared" ref="F27:F29" si="2">SUM(B27:E27)</f>
        <v>153</v>
      </c>
      <c r="H27" s="7" t="s">
        <v>789</v>
      </c>
      <c r="I27" s="6">
        <f>COUNTIF(Tabela!F:F,"*direito_sup*")</f>
        <v>2</v>
      </c>
      <c r="J27" s="6">
        <f>COUNTIF(Tabela!F:F,"*direito*") - I27</f>
        <v>213</v>
      </c>
      <c r="K27" s="110">
        <f t="shared" ref="K27:K29" si="3">SUM(I27:J27)</f>
        <v>215</v>
      </c>
    </row>
    <row r="28" spans="1:19" x14ac:dyDescent="0.25">
      <c r="A28" s="7" t="s">
        <v>753</v>
      </c>
      <c r="B28" s="6">
        <f>COUNTIF(Tabela!F:F,"*(~*)M_enr*") + COUNTIF(Tabela!F:F,"*#M_enr*") + COUNTIF(Tabela!F:F,"*$M_enr*") + COUNTIF(Tabela!F:F,"*&amp;M_enr*") + COUNTIF(Tabela!F:F,"*/M_enr*") + COUNTIF(Tabela!F:F,"*}M_enr*")</f>
        <v>10</v>
      </c>
      <c r="C28" s="6">
        <f>COUNTIF(Tabela!F:F,"*(~*)M_dir*") + COUNTIF(Tabela!F:F,"*#M_dir*") + COUNTIF(Tabela!F:F,"*$M_dir*") + COUNTIF(Tabela!F:F,"*&amp;M_dir*") + COUNTIF(Tabela!F:F,"*/M_dir*") + COUNTIF(Tabela!F:F,"*}M_dir*")</f>
        <v>23</v>
      </c>
      <c r="D28" s="6">
        <f>COUNTIF(Tabela!F:F,"*(~*)M_obl*") + COUNTIF(Tabela!F:F,"*#M_obl*") + COUNTIF(Tabela!F:F,"*$M_obl*") + COUNTIF(Tabela!F:F,"*&amp;M_obl*") + COUNTIF(Tabela!F:F,"*/M_obl*") + COUNTIF(Tabela!F:F,"*}M_obl*")</f>
        <v>10</v>
      </c>
      <c r="E28" s="6">
        <f>COUNTIF(Tabela!F:F,"*(~*)M_ris*") + COUNTIF(Tabela!F:F,"*#M_ris*") + COUNTIF(Tabela!F:F,"*$M_ris*") + COUNTIF(Tabela!F:F,"*&amp;M_ris*") + COUNTIF(Tabela!F:F,"*/M_ris*") + COUNTIF(Tabela!F:F,"*}M_ris*")</f>
        <v>0</v>
      </c>
      <c r="F28" s="11">
        <f t="shared" si="2"/>
        <v>43</v>
      </c>
      <c r="H28" s="7" t="s">
        <v>790</v>
      </c>
      <c r="I28" s="6">
        <f>COUNTIF(Tabela!F:F,"*quo_sup*")</f>
        <v>23</v>
      </c>
      <c r="J28" s="6">
        <f>COUNTIF(Tabela!F:F,"*quo*") - I28</f>
        <v>37</v>
      </c>
      <c r="K28" s="110">
        <f t="shared" si="3"/>
        <v>60</v>
      </c>
    </row>
    <row r="29" spans="1:19" ht="15.75" thickBot="1" x14ac:dyDescent="0.3">
      <c r="A29" s="139" t="s">
        <v>17</v>
      </c>
      <c r="B29" s="105">
        <f>SUM(B26:B28)</f>
        <v>130</v>
      </c>
      <c r="C29" s="105">
        <f>SUM(C26:C28)</f>
        <v>215</v>
      </c>
      <c r="D29" s="105">
        <f t="shared" ref="D29:E29" si="4">SUM(D26:D28)</f>
        <v>60</v>
      </c>
      <c r="E29" s="105">
        <f t="shared" si="4"/>
        <v>1</v>
      </c>
      <c r="F29" s="13">
        <f t="shared" si="2"/>
        <v>406</v>
      </c>
      <c r="H29" s="8" t="s">
        <v>871</v>
      </c>
      <c r="I29" s="12">
        <f>COUNTIF(Tabela!F:F,"*riscado_sup*")</f>
        <v>0</v>
      </c>
      <c r="J29" s="12">
        <f>COUNTIF(Tabela!F:F,"*riscado*") - I29</f>
        <v>1</v>
      </c>
      <c r="K29" s="140">
        <f t="shared" si="3"/>
        <v>1</v>
      </c>
    </row>
    <row r="30" spans="1:19" ht="15.75" thickBot="1" x14ac:dyDescent="0.3">
      <c r="A30" s="48"/>
      <c r="B30" s="2"/>
      <c r="C30" s="2"/>
      <c r="D30" s="2"/>
      <c r="E30" s="2"/>
      <c r="F30" s="2"/>
      <c r="G30" s="2"/>
      <c r="H30" s="2"/>
      <c r="I30" s="2"/>
      <c r="J30" s="2"/>
    </row>
    <row r="31" spans="1:19" ht="15.75" thickBot="1" x14ac:dyDescent="0.3">
      <c r="A31" s="129" t="s">
        <v>766</v>
      </c>
      <c r="B31" s="130"/>
      <c r="C31" s="130"/>
      <c r="D31" s="130"/>
      <c r="E31" s="19"/>
      <c r="F31" s="20"/>
      <c r="G31" s="21"/>
      <c r="H31" s="2"/>
      <c r="I31" s="2"/>
      <c r="J31" s="2"/>
    </row>
    <row r="32" spans="1:19" x14ac:dyDescent="0.25">
      <c r="A32" s="44"/>
      <c r="B32" s="45" t="s">
        <v>793</v>
      </c>
      <c r="C32" s="45" t="s">
        <v>794</v>
      </c>
      <c r="D32" s="45" t="s">
        <v>795</v>
      </c>
      <c r="E32" s="40" t="s">
        <v>791</v>
      </c>
      <c r="F32" s="40" t="s">
        <v>792</v>
      </c>
      <c r="G32" s="131" t="s">
        <v>17</v>
      </c>
    </row>
    <row r="33" spans="1:13" x14ac:dyDescent="0.25">
      <c r="A33" s="5" t="s">
        <v>756</v>
      </c>
      <c r="B33" s="112">
        <f>COUNTIF(Tabela!E:E,"*I_entrelinha*")</f>
        <v>142</v>
      </c>
      <c r="C33" s="6">
        <f>COUNTIF(Tabela!E:E,"*I_linha*")</f>
        <v>55</v>
      </c>
      <c r="D33" s="6">
        <f>COUNTIF(Tabela!E:E,"*I_sobreposição*")</f>
        <v>37</v>
      </c>
      <c r="E33" s="6">
        <f>COUNTIF(Tabela!E:E,"*I_verso*")</f>
        <v>0</v>
      </c>
      <c r="F33" s="6">
        <f>COUNTIF(Tabela!E:E,"*I_margem*")</f>
        <v>0</v>
      </c>
      <c r="G33" s="132">
        <f>SUM(B33:F33)</f>
        <v>234</v>
      </c>
    </row>
    <row r="34" spans="1:13" x14ac:dyDescent="0.25">
      <c r="A34" s="7" t="s">
        <v>757</v>
      </c>
      <c r="B34" s="112">
        <f>COUNTIF(Tabela!E:E,"*M_entrelinha*") - B35</f>
        <v>231</v>
      </c>
      <c r="C34" s="6">
        <f>COUNTIF(Tabela!E:E,"*M_linha*") - C35</f>
        <v>27</v>
      </c>
      <c r="D34" s="6">
        <f>COUNTIF(Tabela!E:E,"*M_sobreposição*") - D35</f>
        <v>45</v>
      </c>
      <c r="E34" s="6">
        <f>COUNTIF(Tabela!E:E,"*M_verso*")</f>
        <v>1</v>
      </c>
      <c r="F34" s="6">
        <f>COUNTIF(Tabela!E:E,"*M_margem*")</f>
        <v>0</v>
      </c>
      <c r="G34" s="132">
        <f t="shared" ref="G34:G36" si="5">SUM(B34:F34)</f>
        <v>304</v>
      </c>
    </row>
    <row r="35" spans="1:13" x14ac:dyDescent="0.25">
      <c r="A35" s="41" t="s">
        <v>753</v>
      </c>
      <c r="B35" s="112">
        <f>COUNTIF(Tabela!E:E,"*(~*)M_entrelinha*") + COUNTIF(Tabela!E:E,"*#M_entrelinha*") + COUNTIF(Tabela!E:E,"*$M_entrelinha*") + COUNTIF(Tabela!E:E,"*&amp;M_entrelinha*") + COUNTIF(Tabela!E:E,"*/M_entrelinha*") + COUNTIF(Tabela!E:E,"*}M_entrelinha*")</f>
        <v>28</v>
      </c>
      <c r="C35" s="6">
        <f>COUNTIF(Tabela!E:E,"*(~*)M_linha*") + COUNTIF(Tabela!E:E,"*#M_linha*") + COUNTIF(Tabela!E:E,"*$M_linha*") + COUNTIF(Tabela!E:E,"*&amp;M_linha*") + COUNTIF(Tabela!E:E,"*/M_linha*") + COUNTIF(Tabela!E:E,"*}M_linha*")</f>
        <v>0</v>
      </c>
      <c r="D35" s="6">
        <f>COUNTIF(Tabela!E:E,"*(~*)M_sob*") + COUNTIF(Tabela!E:E,"*#M_sob*") + COUNTIF(Tabela!E:E,"*$M_sob*") + COUNTIF(Tabela!E:E,"*&amp;M_sob*") + COUNTIF(Tabela!E:E,"*/M_sob*") + COUNTIF(Tabela!E:E,"*}M_sob*")</f>
        <v>19</v>
      </c>
      <c r="E35" s="6">
        <f>COUNTIF(Tabela!E:E,"*(~*)M_ver*") + COUNTIF(Tabela!E:E,"*#M_ver*") + COUNTIF(Tabela!E:E,"*$M_ver*") + COUNTIF(Tabela!E:E,"*&amp;M_ver*") + COUNTIF(Tabela!E:E,"*/M_ver*") + COUNTIF(Tabela!E:E,"*}M_ver*")</f>
        <v>0</v>
      </c>
      <c r="F35" s="6">
        <f>COUNTIF(Tabela!E:E,"*(~*)M_mar*") + COUNTIF(Tabela!E:E,"*#M_mar*") + COUNTIF(Tabela!E:E,"*$M_mar*") + COUNTIF(Tabela!E:E,"*&amp;M_mar*") + COUNTIF(Tabela!E:E,"*/M_mar*") + COUNTIF(Tabela!E:E,"*}M_mar*")</f>
        <v>0</v>
      </c>
      <c r="G35" s="132">
        <f t="shared" si="5"/>
        <v>47</v>
      </c>
    </row>
    <row r="36" spans="1:13" x14ac:dyDescent="0.25">
      <c r="A36" s="42" t="s">
        <v>17</v>
      </c>
      <c r="B36" s="112">
        <f>SUM(B33:B35)</f>
        <v>401</v>
      </c>
      <c r="C36" s="113">
        <f>SUM(C33:C35)</f>
        <v>82</v>
      </c>
      <c r="D36" s="6">
        <f>SUM(D33:D35)</f>
        <v>101</v>
      </c>
      <c r="E36" s="6">
        <f>SUM(E33:E35)</f>
        <v>1</v>
      </c>
      <c r="F36" s="6">
        <f>SUM(F33:F35)</f>
        <v>0</v>
      </c>
      <c r="G36" s="159">
        <f t="shared" si="5"/>
        <v>585</v>
      </c>
    </row>
    <row r="37" spans="1:13" x14ac:dyDescent="0.25">
      <c r="A37" s="161"/>
      <c r="B37" s="9"/>
      <c r="C37" s="9"/>
      <c r="D37" s="9"/>
      <c r="E37" s="9"/>
      <c r="F37" s="9"/>
      <c r="G37" s="9"/>
      <c r="H37" s="9"/>
      <c r="I37" s="2"/>
      <c r="J37" s="2"/>
    </row>
    <row r="38" spans="1:13" ht="15.75" thickBot="1" x14ac:dyDescent="0.3">
      <c r="A38" s="3"/>
      <c r="B38" s="2"/>
      <c r="C38" s="2"/>
      <c r="D38" s="2"/>
      <c r="E38" s="2"/>
    </row>
    <row r="39" spans="1:13" ht="15.75" thickBot="1" x14ac:dyDescent="0.3">
      <c r="A39" s="49" t="s">
        <v>796</v>
      </c>
      <c r="B39" s="50"/>
      <c r="C39" s="50"/>
      <c r="D39" s="20"/>
      <c r="E39" s="20"/>
      <c r="F39" s="21"/>
    </row>
    <row r="40" spans="1:13" ht="30" x14ac:dyDescent="0.25">
      <c r="A40" s="51"/>
      <c r="B40" s="52" t="s">
        <v>797</v>
      </c>
      <c r="C40" s="53" t="s">
        <v>798</v>
      </c>
      <c r="D40" s="53" t="s">
        <v>799</v>
      </c>
      <c r="E40" s="24" t="s">
        <v>17</v>
      </c>
      <c r="F40" s="54" t="s">
        <v>800</v>
      </c>
    </row>
    <row r="41" spans="1:13" x14ac:dyDescent="0.25">
      <c r="A41" s="5" t="s">
        <v>756</v>
      </c>
      <c r="B41" s="42">
        <f>COUNTIF(Tabela!E:E,"*I_entrelinha*") - C41 - D41</f>
        <v>141</v>
      </c>
      <c r="C41" s="42">
        <f>COUNTIF(Tabela!E:E,"*I_entrelinha com chamada*")</f>
        <v>1</v>
      </c>
      <c r="D41" s="42">
        <f>COUNTIF(Tabela!E:E,"*I_entrelinha com traço*")</f>
        <v>0</v>
      </c>
      <c r="E41" s="112">
        <f>SUM(B41:D41)</f>
        <v>142</v>
      </c>
      <c r="F41" s="11">
        <f>COUNTIF(Tabela!E:E,"*I_entrelinha inclinad*")</f>
        <v>46</v>
      </c>
    </row>
    <row r="42" spans="1:13" x14ac:dyDescent="0.25">
      <c r="A42" s="5" t="s">
        <v>757</v>
      </c>
      <c r="B42" s="42">
        <f>COUNTIF(Tabela!E:E,"*M_entrelinha*") - B35 - C42 - D42</f>
        <v>136</v>
      </c>
      <c r="C42" s="42">
        <f>COUNTIF(Tabela!E:E,"*M_entrelinha com chamada*") - C43</f>
        <v>92</v>
      </c>
      <c r="D42" s="42">
        <f>COUNTIF(Tabela!E:E,"*M_entrelinha com traço*") - D43</f>
        <v>3</v>
      </c>
      <c r="E42" s="112">
        <f>SUM(B42:D42)</f>
        <v>231</v>
      </c>
      <c r="F42" s="11">
        <v>0</v>
      </c>
    </row>
    <row r="43" spans="1:13" x14ac:dyDescent="0.25">
      <c r="A43" s="5" t="s">
        <v>753</v>
      </c>
      <c r="B43" s="42">
        <f>COUNTIF(Tabela!E:E,"*(~*)M_entrelinha*") + COUNTIF(Tabela!E:E,"*#M_entrelinha*") + COUNTIF(Tabela!E:E,"*$M_entrelinha*") + COUNTIF(Tabela!E:E,"*&amp;M_entrelinha*") + COUNTIF(Tabela!E:E,"*/M_entrelinha*") + COUNTIF(Tabela!E:E,"*}M_entrelinha*") - C43 - D43</f>
        <v>25</v>
      </c>
      <c r="C43" s="42">
        <f>COUNTIF(Tabela!E:E,"*(~*)M_entrelinha com chamada*") + COUNTIF(Tabela!E:E,"*#M_entrelinha com chamada*") + COUNTIF(Tabela!E:E,"*$M_entrelinha com chamada*") + COUNTIF(Tabela!E:E,"*&amp;M_entrelinha com chamada*") + COUNTIF(Tabela!E:E,"*/M_entrelinha com chamada*") + COUNTIF(Tabela!E:E,"*}M_entrelinha com chamada*")</f>
        <v>3</v>
      </c>
      <c r="D43" s="42">
        <f>COUNTIF(Tabela!E:E,"*(~*)M_entrelinha com traço*") + COUNTIF(Tabela!E:E,"*#M_entrelinha com traço*") + COUNTIF(Tabela!E:E,"*$M_entrelinha com traço*") + COUNTIF(Tabela!E:E,"*&amp;M_entrelinha com traço*") + COUNTIF(Tabela!E:E,"*/M_entrelinha com traço*") + COUNTIF(Tabela!E:E,"*}M_entrelinha com traço*")</f>
        <v>0</v>
      </c>
      <c r="E43" s="112">
        <f>SUM(B43:D43)</f>
        <v>28</v>
      </c>
      <c r="F43" s="11">
        <v>0</v>
      </c>
    </row>
    <row r="44" spans="1:13" x14ac:dyDescent="0.25">
      <c r="A44" s="5" t="s">
        <v>764</v>
      </c>
      <c r="B44" s="112">
        <f>SUM(B41:B43)</f>
        <v>302</v>
      </c>
      <c r="C44" s="112">
        <f>SUM(C41:C43)</f>
        <v>96</v>
      </c>
      <c r="D44" s="112">
        <f>SUM(D41:D43)</f>
        <v>3</v>
      </c>
      <c r="E44" s="112">
        <f>SUM(B44:D44)</f>
        <v>401</v>
      </c>
      <c r="F44" s="11">
        <v>0</v>
      </c>
    </row>
    <row r="45" spans="1:13" ht="15.75" thickBot="1" x14ac:dyDescent="0.3">
      <c r="A45" s="55" t="s">
        <v>765</v>
      </c>
      <c r="B45" s="12">
        <f>COUNTIF(Tabela!E:E,"*entrelinha*") - C45 - D45</f>
        <v>302</v>
      </c>
      <c r="C45" s="12">
        <f>COUNTIF(Tabela!E:E,"*entrelinha com chamada*")</f>
        <v>96</v>
      </c>
      <c r="D45" s="12">
        <f>COUNTIF(Tabela!E:E,"*entrelinha com traço*")</f>
        <v>3</v>
      </c>
      <c r="E45" s="114">
        <f>SUM(E41:E43)</f>
        <v>401</v>
      </c>
      <c r="F45" s="13">
        <f>SUM(F41:F44)</f>
        <v>46</v>
      </c>
    </row>
    <row r="46" spans="1:13" ht="15.75" thickBot="1" x14ac:dyDescent="0.3">
      <c r="A46" s="2"/>
      <c r="B46" s="2"/>
      <c r="C46" s="2"/>
      <c r="D46" s="2"/>
      <c r="E46" s="2"/>
      <c r="I46" s="3"/>
      <c r="J46" s="3"/>
      <c r="K46" s="3"/>
      <c r="L46" s="4"/>
      <c r="M46" s="2"/>
    </row>
    <row r="47" spans="1:13" ht="15.75" thickBot="1" x14ac:dyDescent="0.3">
      <c r="A47" s="18" t="s">
        <v>801</v>
      </c>
      <c r="B47" s="19"/>
      <c r="C47" s="19"/>
      <c r="D47" s="19"/>
      <c r="E47" s="19"/>
      <c r="F47" s="20"/>
      <c r="G47" s="20"/>
      <c r="H47" s="20"/>
      <c r="I47" s="20"/>
      <c r="J47" s="20"/>
      <c r="K47" s="21"/>
      <c r="L47" s="2"/>
      <c r="M47" s="2"/>
    </row>
    <row r="48" spans="1:13" ht="30" x14ac:dyDescent="0.25">
      <c r="A48" s="44"/>
      <c r="B48" s="52" t="s">
        <v>797</v>
      </c>
      <c r="C48" s="52" t="s">
        <v>798</v>
      </c>
      <c r="D48" s="52" t="s">
        <v>799</v>
      </c>
      <c r="E48" s="136" t="s">
        <v>802</v>
      </c>
      <c r="F48" s="136" t="s">
        <v>803</v>
      </c>
      <c r="G48" s="52" t="s">
        <v>794</v>
      </c>
      <c r="H48" s="136" t="s">
        <v>795</v>
      </c>
      <c r="I48" s="52" t="s">
        <v>791</v>
      </c>
      <c r="J48" s="52" t="s">
        <v>792</v>
      </c>
      <c r="K48" s="54" t="s">
        <v>17</v>
      </c>
      <c r="L48" s="2"/>
      <c r="M48" s="2"/>
    </row>
    <row r="49" spans="1:19" x14ac:dyDescent="0.25">
      <c r="A49" s="65" t="s">
        <v>818</v>
      </c>
      <c r="B49" s="6">
        <f>COUNTIF(Tabela!E:E,"*M_entrelinha_ad*") - B50</f>
        <v>19</v>
      </c>
      <c r="C49" s="6">
        <f>COUNTIF(Tabela!E:E,"*M_entrelinha com chamada_ad*") - C50</f>
        <v>77</v>
      </c>
      <c r="D49" s="6">
        <f>COUNTIF(Tabela!E:E,"*M_entrelinha com traço_ad*") - D50</f>
        <v>2</v>
      </c>
      <c r="E49" s="6">
        <f>SUM(B49:D49)</f>
        <v>98</v>
      </c>
      <c r="F49" s="6">
        <f>COUNTIF(Tabela!E:E,"*entrelinha_ad*") + COUNTIF(Tabela!E:E,"*entrelinha com chamada_ad*") + COUNTIF(Tabela!E:E,"*entrelinha com traço_ad*") - F50</f>
        <v>98</v>
      </c>
      <c r="G49" s="6">
        <f>COUNTIF(Tabela!E:E,"*M_linha_ad*") - G50</f>
        <v>19</v>
      </c>
      <c r="H49" s="6">
        <v>0</v>
      </c>
      <c r="I49" s="6">
        <f>COUNTIF(Tabela!E:E,"*M_verso_ad*")</f>
        <v>1</v>
      </c>
      <c r="J49" s="6">
        <f>COUNTIF(Tabela!E:E,"*M_margem_ad*")</f>
        <v>0</v>
      </c>
      <c r="K49" s="11">
        <f>SUM(E49, G49:I49)</f>
        <v>118</v>
      </c>
      <c r="L49" s="2"/>
      <c r="M49" s="2"/>
    </row>
    <row r="50" spans="1:19" x14ac:dyDescent="0.25">
      <c r="A50" s="65" t="s">
        <v>819</v>
      </c>
      <c r="B50" s="42">
        <f>COUNTIF(Tabela!E:E,"*}M_entrelinha_ad*")</f>
        <v>0</v>
      </c>
      <c r="C50" s="42">
        <f>COUNTIF(Tabela!E:E,"*}M_entrelinha com chamada_ad*")</f>
        <v>0</v>
      </c>
      <c r="D50" s="42">
        <f>COUNTIF(Tabela!E:E,"*}M_entrelinha com traço_ad*")</f>
        <v>0</v>
      </c>
      <c r="E50" s="42">
        <f>SUM(B50:D50)</f>
        <v>0</v>
      </c>
      <c r="F50" s="42">
        <f>COUNTIF(Tabela!E:E,"*}M_entrelinha_ad*") + COUNTIF(Tabela!E:E,"*}M_entrelinha com chamada_ad*") + COUNTIF(Tabela!E:E,"*}M_entrelinha com traço_ad*")</f>
        <v>0</v>
      </c>
      <c r="G50" s="6">
        <f>COUNTIF(Tabela!E:E,"*}M_linha_ad*")</f>
        <v>0</v>
      </c>
      <c r="H50" s="6">
        <v>0</v>
      </c>
      <c r="I50" s="6">
        <v>0</v>
      </c>
      <c r="J50" s="6">
        <v>0</v>
      </c>
      <c r="K50" s="11">
        <f t="shared" ref="K50:K54" si="6">SUM(E50, G50:I50)</f>
        <v>0</v>
      </c>
    </row>
    <row r="51" spans="1:19" x14ac:dyDescent="0.25">
      <c r="A51" s="7" t="s">
        <v>820</v>
      </c>
      <c r="B51" s="42">
        <f>COUNTIF(Tabela!E:E,"*I_entrelinha*") - C51 - D51</f>
        <v>141</v>
      </c>
      <c r="C51" s="42">
        <f>COUNTIF(Tabela!E:E,"*I_entrelinha com chamada*")</f>
        <v>1</v>
      </c>
      <c r="D51" s="42">
        <f>COUNTIF(Tabela!E:E,"*I_entrelinha com traço*")</f>
        <v>0</v>
      </c>
      <c r="E51" s="42">
        <f>SUM(B51:D51)</f>
        <v>142</v>
      </c>
      <c r="F51" s="42">
        <f>COUNTIF(Tabela!E:E,"*I_entrelinha*") - C51 - D51 + COUNTIF(Tabela!E:E,"*I_entrelinha com chamada*") + COUNTIF(Tabela!E:E,"*I_entrelinha com traço*")</f>
        <v>142</v>
      </c>
      <c r="G51" s="6">
        <f>COUNTIF(Tabela!E:E,"*I_linha*")</f>
        <v>55</v>
      </c>
      <c r="H51" s="6">
        <f>COUNTIF(Tabela!E:E,"*I_sob*")</f>
        <v>37</v>
      </c>
      <c r="I51" s="6">
        <f>COUNTIF(Tabela!E:E,"*I_verso_sub*")</f>
        <v>0</v>
      </c>
      <c r="J51" s="6">
        <v>0</v>
      </c>
      <c r="K51" s="11">
        <f t="shared" si="6"/>
        <v>234</v>
      </c>
    </row>
    <row r="52" spans="1:19" x14ac:dyDescent="0.25">
      <c r="A52" s="7" t="s">
        <v>821</v>
      </c>
      <c r="B52" s="42">
        <f>COUNTIF(Tabela!E:E,"*M_entrelinha*") - B49 - B50 - B53 - C49 - C50 - C53 - D49 - D50 - D53 - C52 - D52</f>
        <v>117</v>
      </c>
      <c r="C52" s="42">
        <f>COUNTIF(Tabela!E:E,"*M_entrelinha com chamada*") - C49 - C50 - C53</f>
        <v>15</v>
      </c>
      <c r="D52" s="42">
        <f>COUNTIF(Tabela!E:E,"*M_entrelinha com traço_sub*") - D53</f>
        <v>1</v>
      </c>
      <c r="E52" s="42">
        <f t="shared" ref="E52:E53" si="7">SUM(B52:D52)</f>
        <v>133</v>
      </c>
      <c r="F52" s="42">
        <f>COUNTIF(Tabela!E:E,"*M_entrelinha*") - F49 - F50 - F53</f>
        <v>133</v>
      </c>
      <c r="G52" s="6">
        <f>COUNTIF(Tabela!E:E,"*M_linha*") - G49 - G50</f>
        <v>8</v>
      </c>
      <c r="H52" s="6">
        <f>COUNTIF(Tabela!E:E,"*M_sob*") - H53</f>
        <v>45</v>
      </c>
      <c r="I52" s="6">
        <v>0</v>
      </c>
      <c r="J52" s="6">
        <v>0</v>
      </c>
      <c r="K52" s="11">
        <f t="shared" si="6"/>
        <v>186</v>
      </c>
    </row>
    <row r="53" spans="1:19" x14ac:dyDescent="0.25">
      <c r="A53" s="7" t="s">
        <v>822</v>
      </c>
      <c r="B53" s="42">
        <f>COUNTIF(Tabela!E:E,"*(~*)M_entrelinha*") + COUNTIF(Tabela!E:E,"*$M_entrelinha*") + COUNTIF(Tabela!E:E,"*&amp;M_entrelinha*") + COUNTIF(Tabela!E:E,"*#M_entrelinha*") - C53 - D53</f>
        <v>25</v>
      </c>
      <c r="C53" s="42">
        <f>COUNTIF(Tabela!E:E,"*(~*)M_entrelinha com chamada*") + COUNTIF(Tabela!E:E,"*$M_entrelinha com chamada*") + COUNTIF(Tabela!E:E,"*&amp;M_entrelinha com chamada*") + COUNTIF(Tabela!E:E,"*#M_entrelinha com chamada*")</f>
        <v>3</v>
      </c>
      <c r="D53" s="42">
        <f>COUNTIF(Tabela!E:E,"*(~*)M_entrelinha com traço_sub*") + COUNTIF(Tabela!E:E,"*$M_entrelinha com traço_sub*") + COUNTIF(Tabela!E:E,"*&amp;M_entrelinha com traço_sub*") + COUNTIF(Tabela!E:E,"*#M_entrelinha com traço_sub*")</f>
        <v>0</v>
      </c>
      <c r="E53" s="42">
        <f t="shared" si="7"/>
        <v>28</v>
      </c>
      <c r="F53" s="42">
        <f>COUNTIF(Tabela!E:E,"*(~*)M_entrelinha*") + COUNTIF(Tabela!E:E,"*$M_entrelinha*") + COUNTIF(Tabela!E:E,"*&amp;M_entrelinha*") + COUNTIF(Tabela!E:E,"*#M_entrelinha*")</f>
        <v>28</v>
      </c>
      <c r="G53" s="6">
        <f>COUNTIF(Tabela!G:G,"*(~*)M_linha*") + COUNTIF(Tabela!G:G,"*#M_linha*") + COUNTIF(Tabela!G:G,"*$M_linha*") + COUNTIF(Tabela!G:G,"*&amp;M_linha*")</f>
        <v>0</v>
      </c>
      <c r="H53" s="6">
        <f>COUNTIF(Tabela!E:E,"*(~*)M_sob*") + COUNTIF(Tabela!E:E,"*#M_sob*") + COUNTIF(Tabela!E:E,"*$M_sob*") + COUNTIF(Tabela!E:E,"*&amp;M_sob*") + COUNTIF(Tabela!E:E,"*/M_sob*") + COUNTIF(Tabela!E:E,"*}M_sob*")</f>
        <v>19</v>
      </c>
      <c r="I53" s="6">
        <v>0</v>
      </c>
      <c r="J53" s="6">
        <v>0</v>
      </c>
      <c r="K53" s="11">
        <f t="shared" si="6"/>
        <v>47</v>
      </c>
    </row>
    <row r="54" spans="1:19" ht="15.75" thickBot="1" x14ac:dyDescent="0.3">
      <c r="A54" s="26" t="s">
        <v>17</v>
      </c>
      <c r="B54" s="114">
        <f t="shared" ref="B54:G54" si="8">SUM(B49:B53)</f>
        <v>302</v>
      </c>
      <c r="C54" s="114">
        <f t="shared" si="8"/>
        <v>96</v>
      </c>
      <c r="D54" s="114">
        <f t="shared" si="8"/>
        <v>3</v>
      </c>
      <c r="E54" s="114">
        <f t="shared" si="8"/>
        <v>401</v>
      </c>
      <c r="F54" s="114">
        <f t="shared" si="8"/>
        <v>401</v>
      </c>
      <c r="G54" s="133">
        <f t="shared" si="8"/>
        <v>82</v>
      </c>
      <c r="H54" s="27">
        <f>SUM(H51:H53)</f>
        <v>101</v>
      </c>
      <c r="I54" s="12">
        <f>SUM(I49,I51)</f>
        <v>1</v>
      </c>
      <c r="J54" s="12">
        <f>SUM(J49)</f>
        <v>0</v>
      </c>
      <c r="K54" s="13">
        <f t="shared" si="6"/>
        <v>585</v>
      </c>
    </row>
    <row r="55" spans="1:19" ht="15.75" thickBot="1" x14ac:dyDescent="0.3">
      <c r="A55" s="2"/>
      <c r="B55" s="2"/>
      <c r="C55" s="2"/>
      <c r="D55" s="2"/>
      <c r="E55" s="2"/>
    </row>
    <row r="56" spans="1:19" ht="15.75" thickBot="1" x14ac:dyDescent="0.3">
      <c r="A56" s="18" t="s">
        <v>767</v>
      </c>
      <c r="B56" s="20"/>
      <c r="C56" s="20"/>
      <c r="D56" s="20"/>
      <c r="E56" s="21"/>
      <c r="G56" s="141" t="s">
        <v>861</v>
      </c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58"/>
    </row>
    <row r="57" spans="1:19" x14ac:dyDescent="0.25">
      <c r="A57" s="44"/>
      <c r="B57" s="24" t="s">
        <v>771</v>
      </c>
      <c r="C57" s="24" t="s">
        <v>772</v>
      </c>
      <c r="D57" s="24" t="s">
        <v>773</v>
      </c>
      <c r="E57" s="36" t="s">
        <v>17</v>
      </c>
      <c r="G57" s="44"/>
      <c r="H57" s="24" t="s">
        <v>862</v>
      </c>
      <c r="I57" s="144" t="s">
        <v>863</v>
      </c>
      <c r="J57" s="145" t="s">
        <v>864</v>
      </c>
      <c r="K57" s="146" t="s">
        <v>786</v>
      </c>
      <c r="L57" s="147" t="s">
        <v>867</v>
      </c>
      <c r="M57" s="148" t="s">
        <v>868</v>
      </c>
      <c r="N57" s="149" t="s">
        <v>865</v>
      </c>
      <c r="O57" s="145" t="s">
        <v>771</v>
      </c>
      <c r="P57" s="146" t="s">
        <v>772</v>
      </c>
      <c r="Q57" s="147" t="s">
        <v>773</v>
      </c>
      <c r="R57" s="148" t="s">
        <v>17</v>
      </c>
      <c r="S57" s="36" t="s">
        <v>765</v>
      </c>
    </row>
    <row r="58" spans="1:19" x14ac:dyDescent="0.25">
      <c r="A58" s="7" t="s">
        <v>756</v>
      </c>
      <c r="B58" s="6">
        <f>COUNTIF(Tabela!G:G,"*I_projecção*")</f>
        <v>14</v>
      </c>
      <c r="C58" s="6">
        <f>COUNTIF(Tabela!G:G,"*I_retroprojecção*")</f>
        <v>1</v>
      </c>
      <c r="D58" s="6">
        <f>COUNTIF(Tabela!G:G,"*I_retorno*")</f>
        <v>11</v>
      </c>
      <c r="E58" s="115">
        <f>SUM(B58:D58)</f>
        <v>26</v>
      </c>
      <c r="G58" s="41" t="s">
        <v>756</v>
      </c>
      <c r="H58" s="42">
        <f>COUNTIF(Tabela!H:H,"*I_sin*")</f>
        <v>5</v>
      </c>
      <c r="I58" s="17">
        <f>COUNTIF(Tabela!H:H,"*I_red*") + COUNTIF(Tabela!H:H,"*I_ant*")</f>
        <v>98</v>
      </c>
      <c r="J58" s="41">
        <f>COUNTIF(Tabela!H:H,"*I_tl*")</f>
        <v>50</v>
      </c>
      <c r="K58" s="42">
        <f>COUNTIF(Tabela!H:H,"*I_ad*")</f>
        <v>0</v>
      </c>
      <c r="L58" s="11">
        <f>COUNTIF(Tabela!H:H,"*I_sup*")</f>
        <v>0</v>
      </c>
      <c r="M58" s="150">
        <f>COUNTIF(Tabela!H:H,"*I_ling*") + COUNTIF(Tabela!H:H,"*I_reord*")</f>
        <v>12</v>
      </c>
      <c r="N58" s="17">
        <f>COUNTIF(Tabela!H:H,"*I_g*") + COUNTIF(Tabela!H:H,"*I_ort*") + COUNTIF(Tabela!H:H,"*I_pont*") + COUNTIF(Tabela!H:H,"*I_ns*")</f>
        <v>51</v>
      </c>
      <c r="O58" s="41">
        <f>COUNTIF(Tabela!H:H,"*I_proj*")</f>
        <v>14</v>
      </c>
      <c r="P58" s="6">
        <f>COUNTIF(Tabela!H:H,"*I_retro*")</f>
        <v>1</v>
      </c>
      <c r="Q58" s="11">
        <f>COUNTIF(Tabela!H:H,"*I_retor*")</f>
        <v>11</v>
      </c>
      <c r="R58" s="151">
        <f>SUM(H58:Q58)</f>
        <v>242</v>
      </c>
      <c r="S58" s="134">
        <f>A3</f>
        <v>242</v>
      </c>
    </row>
    <row r="59" spans="1:19" x14ac:dyDescent="0.25">
      <c r="A59" s="7" t="s">
        <v>757</v>
      </c>
      <c r="B59" s="42">
        <f>COUNTIF(Tabela!G:G,"*M_projecção*") - B60</f>
        <v>12</v>
      </c>
      <c r="C59" s="6">
        <f>COUNTIF(Tabela!G:G,"*M_retroprojecção*") - C60</f>
        <v>3</v>
      </c>
      <c r="D59" s="6">
        <f>COUNTIF(Tabela!G:G,"*M_retorno*") - D60</f>
        <v>2</v>
      </c>
      <c r="E59" s="115">
        <f t="shared" ref="E59:E61" si="9">SUM(B59:D59)</f>
        <v>17</v>
      </c>
      <c r="G59" s="41" t="s">
        <v>757</v>
      </c>
      <c r="H59" s="42">
        <f>COUNTIF(Tabela!H:H,"*M_sin*") - H60</f>
        <v>11</v>
      </c>
      <c r="I59" s="17">
        <f>COUNTIF(Tabela!H:H,"*M_red*") + COUNTIF(Tabela!H:H,"*M_ant*") - I60</f>
        <v>13</v>
      </c>
      <c r="J59" s="41">
        <f>COUNTIF(Tabela!H:H,"*M_tl*") - J60</f>
        <v>96</v>
      </c>
      <c r="K59" s="42">
        <f>COUNTIF(Tabela!H:H,"*M_ad*") - K60</f>
        <v>88</v>
      </c>
      <c r="L59" s="11">
        <f>COUNTIF(Tabela!H:H,"*M_sup*") - L60</f>
        <v>1</v>
      </c>
      <c r="M59" s="150">
        <f>COUNTIF(Tabela!H:H,"*M_ling*") - M60  + COUNTIF(Tabela!H:H,"*M_reord*")</f>
        <v>8</v>
      </c>
      <c r="N59" s="17">
        <f>COUNTIF(Tabela!H:H,"*M_g*") + COUNTIF(Tabela!H:H,"*M_ort*") + COUNTIF(Tabela!H:H,"*M_pont*") + COUNTIF(Tabela!H:H,"*M_ns*") - N60</f>
        <v>11</v>
      </c>
      <c r="O59" s="41">
        <f>COUNTIF(Tabela!H:H,"*M_proj*") - O60</f>
        <v>12</v>
      </c>
      <c r="P59" s="6">
        <f>COUNTIF(Tabela!H:H,"*M_retro*") - P60</f>
        <v>2</v>
      </c>
      <c r="Q59" s="11">
        <f>COUNTIF(Tabela!H:H,"*M_retor*") - Q60</f>
        <v>1</v>
      </c>
      <c r="R59" s="152">
        <f>SUM(H59:Q59)</f>
        <v>243</v>
      </c>
      <c r="S59" s="110">
        <f>B3</f>
        <v>243</v>
      </c>
    </row>
    <row r="60" spans="1:19" x14ac:dyDescent="0.25">
      <c r="A60" s="41" t="s">
        <v>753</v>
      </c>
      <c r="B60" s="42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0</v>
      </c>
      <c r="C60" s="42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D60" s="42">
        <f>COUNTIF(Tabela!G:G,"*(~*)M_retorno*") + COUNTIF(Tabela!G:G,"*#M_retorno*") + COUNTIF(Tabela!G:G,"*$M_retorno*") + COUNTIF(Tabela!G:G,"*&amp;M_retorno*") + COUNTIF(Tabela!G:G,"*/M_retorno*") + COUNTIF(Tabela!G:G,"*}M_retorno*")</f>
        <v>2</v>
      </c>
      <c r="E60" s="115">
        <f t="shared" si="9"/>
        <v>2</v>
      </c>
      <c r="G60" s="41" t="s">
        <v>753</v>
      </c>
      <c r="H60" s="42">
        <f>COUNTIF(Tabela!H:H,"*(~*)M_sin*") + COUNTIF(Tabela!H:H,"*#M_sin*") + COUNTIF(Tabela!H:H,"*$M_sin*") + COUNTIF(Tabela!H:H,"*&amp;M_sin*") + COUNTIF(Tabela!H:H,"*/M_sin*") + COUNTIF(Tabela!H:H,"*}M_sin*")</f>
        <v>8</v>
      </c>
      <c r="I60" s="17">
        <f>COUNTIF(Tabela!H:H,"*(~*)M_red*") + COUNTIF(Tabela!H:H,"*#M_red*") + COUNTIF(Tabela!H:H,"*$M_red*") + COUNTIF(Tabela!H:H,"*&amp;M_red*") + COUNTIF(Tabela!H:H,"*/M_red*") + COUNTIF(Tabela!H:H,"*}M_red*") + COUNTIF(Tabela!H:H,"*(~*)M_ant*") + COUNTIF(Tabela!H:H,"*#M_ant*") + COUNTIF(Tabela!H:H,"*$M_ant*") + COUNTIF(Tabela!H:H,"*&amp;M_ant*") + COUNTIF(Tabela!H:H,"*/M_ant*") + COUNTIF(Tabela!H:H,"*}M_ant*")</f>
        <v>3</v>
      </c>
      <c r="J60" s="41">
        <f>COUNTIF(Tabela!H:H,"*(~*)M_tl*") + COUNTIF(Tabela!H:H,"*#M_tl*") + COUNTIF(Tabela!H:H,"*$M_tl*") + COUNTIF(Tabela!H:H,"*&amp;M_tl*") + COUNTIF(Tabela!H:H,"*/M_tl*") + COUNTIF(Tabela!H:H,"*}M_tl*")</f>
        <v>28</v>
      </c>
      <c r="K60" s="42">
        <f>COUNTIF(Tabela!H:H,"*(~*)M_ad*") + COUNTIF(Tabela!H:H,"*#M_ad*") + COUNTIF(Tabela!H:H,"*$M_ad*") + COUNTIF(Tabela!H:H,"*&amp;M_ad*") + COUNTIF(Tabela!H:H,"*/M_ad*") + COUNTIF(Tabela!H:H,"*}M_ad*")</f>
        <v>0</v>
      </c>
      <c r="L60" s="11">
        <f>COUNTIF(Tabela!H:H,"*(~*)M_sup*") + COUNTIF(Tabela!H:H,"*#M_sup*") + COUNTIF(Tabela!H:H,"*$M_sup*") + COUNTIF(Tabela!H:H,"*&amp;M_sup*") + COUNTIF(Tabela!H:H,"*/M_sup*") + COUNTIF(Tabela!H:H,"*}M_sup*")</f>
        <v>8</v>
      </c>
      <c r="M60" s="150">
        <f>COUNTIF(Tabela!H:H,"*(~*)M_ling*") + COUNTIF(Tabela!H:H,"*#M_ling*") + COUNTIF(Tabela!H:H,"*$M_ling*") + COUNTIF(Tabela!H:H,"*&amp;M_ling*") + COUNTIF(Tabela!H:H,"*/M_ling*") + COUNTIF(Tabela!H:H,"*}M_ling*") + COUNTIF(Tabela!H:H,"*(~*)M_reord*") + COUNTIF(Tabela!H:H,"*#M_reord*") + COUNTIF(Tabela!H:H,"*$M_reord*") + COUNTIF(Tabela!H:H,"*&amp;M_reord*") + COUNTIF(Tabela!H:H,"*/M_reord*") + COUNTIF(Tabela!H:H,"*}M_reord*")</f>
        <v>2</v>
      </c>
      <c r="N60" s="17">
        <f>COUNTIF(Tabela!H:H,"*(~*)M_pont*") + COUNTIF(Tabela!H:H,"*#M_pont*") + COUNTIF(Tabela!H:H,"*$M_pont*") + COUNTIF(Tabela!H:H,"*&amp;M_pont*") + COUNTIF(Tabela!H:H,"*/M_pont*") + COUNTIF(Tabela!H:H,"*}M_pont*") + COUNTIF(Tabela!H:H,"*(~*)M_ns*") + COUNTIF(Tabela!H:H,"*#M_ns*") + COUNTIF(Tabela!H:H,"*$M_ns*") + COUNTIF(Tabela!H:H,"*&amp;M_ns*") + COUNTIF(Tabela!H:H,"*/M_ns*") + COUNTIF(Tabela!H:H,"*}M_ns*") + COUNTIF(Tabela!H:H,"*(~*)M_g*") + COUNTIF(Tabela!H:H,"*#M_g*") + COUNTIF(Tabela!H:H,"*$M_g*") + COUNTIF(Tabela!H:H,"*&amp;M_g*") + COUNTIF(Tabela!H:H,"*/M_g*") + COUNTIF(Tabela!H:H,"*}M_g*") + COUNTIF(Tabela!H:H,"*(~*)M_ort*") + COUNTIF(Tabela!H:H,"*#M_ort*") + COUNTIF(Tabela!H:H,"*$M_ort*") + COUNTIF(Tabela!H:H,"*&amp;M_ort*") + COUNTIF(Tabela!H:H,"*/M_ort*") + COUNTIF(Tabela!H:H,"*}M_ort*")</f>
        <v>11</v>
      </c>
      <c r="O60" s="41">
        <f>COUNTIF(Tabela!H:H,"*(~*)M_proj*")+COUNTIF(Tabela!H:H,"*#M_proj*")+COUNTIF(Tabela!H:H,"*$M_proj*")+COUNTIF(Tabela!H:H,"*&amp;M_proj*")+COUNTIF(Tabela!H:H,"*/M_proj*")+COUNTIF(Tabela!H:H,"*}M_proj*")</f>
        <v>0</v>
      </c>
      <c r="P60" s="6">
        <f xml:space="preserve"> COUNTIF(Tabela!H:H,"*(~*)M_retro*") + COUNTIF(Tabela!H:H,"*#M_retro*") + COUNTIF(Tabela!H:H,"*$M_retro*") + COUNTIF(Tabela!H:H,"*&amp;M_retro*") + COUNTIF(Tabela!H:H,"*/M_retro*") + COUNTIF(Tabela!H:H,"*}M_retro*")</f>
        <v>2</v>
      </c>
      <c r="Q60" s="11">
        <f xml:space="preserve"> COUNTIF(Tabela!H:H,"*(~*)M_retor*")+COUNTIF(Tabela!H:H,"*#M_retor*")+COUNTIF(Tabela!H:H,"*$M_retor*")+COUNTIF(Tabela!H:H,"*&amp;M_retor*")+COUNTIF(Tabela!H:H,"*/M_retor*")+COUNTIF(Tabela!H:H,"*}M_retor*")</f>
        <v>0</v>
      </c>
      <c r="R60" s="153">
        <f>SUM(H60:Q60)</f>
        <v>62</v>
      </c>
      <c r="S60" s="135">
        <f>C3</f>
        <v>62</v>
      </c>
    </row>
    <row r="61" spans="1:19" ht="15.75" thickBot="1" x14ac:dyDescent="0.3">
      <c r="A61" s="26" t="s">
        <v>17</v>
      </c>
      <c r="B61" s="116">
        <f>SUM(B58:B60)</f>
        <v>26</v>
      </c>
      <c r="C61" s="116">
        <f>SUM(C58:C60)</f>
        <v>4</v>
      </c>
      <c r="D61" s="116">
        <f>SUM(D58:D60)</f>
        <v>15</v>
      </c>
      <c r="E61" s="117">
        <f t="shared" si="9"/>
        <v>45</v>
      </c>
      <c r="G61" s="26" t="s">
        <v>17</v>
      </c>
      <c r="H61" s="27">
        <f t="shared" ref="H61:J61" si="10">SUM(H58:H60)</f>
        <v>24</v>
      </c>
      <c r="I61" s="154">
        <f t="shared" si="10"/>
        <v>114</v>
      </c>
      <c r="J61" s="26">
        <f t="shared" si="10"/>
        <v>174</v>
      </c>
      <c r="K61" s="27">
        <f t="shared" ref="K61:Q61" si="11">SUM(K58:K60)</f>
        <v>88</v>
      </c>
      <c r="L61" s="32">
        <f t="shared" si="11"/>
        <v>9</v>
      </c>
      <c r="M61" s="155">
        <f t="shared" si="11"/>
        <v>22</v>
      </c>
      <c r="N61" s="154">
        <f t="shared" si="11"/>
        <v>73</v>
      </c>
      <c r="O61" s="26">
        <f t="shared" si="11"/>
        <v>26</v>
      </c>
      <c r="P61" s="27">
        <f t="shared" si="11"/>
        <v>5</v>
      </c>
      <c r="Q61" s="32">
        <f t="shared" si="11"/>
        <v>12</v>
      </c>
      <c r="R61" s="156">
        <f>SUM(H61:Q61)</f>
        <v>547</v>
      </c>
      <c r="S61" s="143">
        <f>D3</f>
        <v>547</v>
      </c>
    </row>
    <row r="62" spans="1:19" ht="15.75" thickBot="1" x14ac:dyDescent="0.3">
      <c r="A62" s="2"/>
      <c r="B62" s="2"/>
      <c r="C62" s="2"/>
      <c r="D62" s="2"/>
      <c r="E62" s="2"/>
      <c r="J62" s="137" t="s">
        <v>869</v>
      </c>
      <c r="K62" s="57">
        <f>SUM(J61:L61)</f>
        <v>271</v>
      </c>
      <c r="L62" s="58"/>
      <c r="O62" s="137" t="s">
        <v>869</v>
      </c>
      <c r="P62" s="57">
        <f>SUM(O61:Q61)</f>
        <v>43</v>
      </c>
      <c r="Q62" s="58"/>
    </row>
    <row r="63" spans="1:19" x14ac:dyDescent="0.25">
      <c r="A63" s="118" t="s">
        <v>768</v>
      </c>
      <c r="B63" s="2"/>
      <c r="C63" s="2"/>
      <c r="D63" s="2"/>
      <c r="E63" s="2"/>
      <c r="F63" s="2"/>
      <c r="G63" s="2"/>
      <c r="H63" s="2"/>
      <c r="I63" s="2"/>
      <c r="J63" s="2"/>
    </row>
    <row r="64" spans="1:19" x14ac:dyDescent="0.25">
      <c r="A64" s="118"/>
      <c r="B64" s="2"/>
      <c r="C64" s="2"/>
      <c r="D64" s="2"/>
      <c r="E64" s="2"/>
      <c r="F64" s="2"/>
      <c r="G64" s="2"/>
      <c r="H64" s="2"/>
      <c r="I64" s="2"/>
      <c r="J64" s="2"/>
    </row>
    <row r="65" spans="1:14" ht="15.75" thickBot="1" x14ac:dyDescent="0.3">
      <c r="A65" s="118" t="s">
        <v>769</v>
      </c>
      <c r="B65" s="2"/>
      <c r="C65" s="2"/>
      <c r="D65" s="2"/>
      <c r="E65" s="2"/>
      <c r="F65" s="2"/>
      <c r="G65" s="2"/>
      <c r="H65" s="2"/>
      <c r="I65" s="2"/>
      <c r="J65" s="2"/>
    </row>
    <row r="66" spans="1:14" ht="15.75" thickBot="1" x14ac:dyDescent="0.3">
      <c r="A66" s="119" t="s">
        <v>770</v>
      </c>
      <c r="B66" s="120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8"/>
    </row>
    <row r="67" spans="1:14" x14ac:dyDescent="0.25">
      <c r="A67" s="59"/>
      <c r="B67" s="121"/>
      <c r="C67" s="167" t="s">
        <v>756</v>
      </c>
      <c r="D67" s="168"/>
      <c r="E67" s="168"/>
      <c r="F67" s="168"/>
      <c r="G67" s="169" t="s">
        <v>757</v>
      </c>
      <c r="H67" s="170"/>
      <c r="I67" s="170"/>
      <c r="J67" s="170"/>
      <c r="K67" s="171" t="s">
        <v>753</v>
      </c>
      <c r="L67" s="172"/>
      <c r="M67" s="172"/>
      <c r="N67" s="173"/>
    </row>
    <row r="68" spans="1:14" x14ac:dyDescent="0.25">
      <c r="A68" s="41"/>
      <c r="B68" s="60" t="s">
        <v>17</v>
      </c>
      <c r="C68" s="61" t="s">
        <v>771</v>
      </c>
      <c r="D68" s="42" t="s">
        <v>772</v>
      </c>
      <c r="E68" s="42" t="s">
        <v>773</v>
      </c>
      <c r="F68" s="17" t="s">
        <v>774</v>
      </c>
      <c r="G68" s="62" t="s">
        <v>771</v>
      </c>
      <c r="H68" s="42" t="s">
        <v>772</v>
      </c>
      <c r="I68" s="42" t="s">
        <v>773</v>
      </c>
      <c r="J68" s="17" t="s">
        <v>775</v>
      </c>
      <c r="K68" s="63" t="s">
        <v>771</v>
      </c>
      <c r="L68" s="42" t="s">
        <v>772</v>
      </c>
      <c r="M68" s="42" t="s">
        <v>773</v>
      </c>
      <c r="N68" s="64" t="s">
        <v>776</v>
      </c>
    </row>
    <row r="69" spans="1:14" x14ac:dyDescent="0.25">
      <c r="A69" s="65" t="s">
        <v>804</v>
      </c>
      <c r="B69" s="60">
        <f>SUM(F69+J69+N69)</f>
        <v>37</v>
      </c>
      <c r="C69" s="61">
        <f>COUNTIF(Tabela!G:G,"*I_projecção_mesma frase*")</f>
        <v>12</v>
      </c>
      <c r="D69" s="42">
        <f>COUNTIF(Tabela!G:G,"*I_retroprojecção_mesma frase*")</f>
        <v>0</v>
      </c>
      <c r="E69" s="42">
        <f>COUNTIF(Tabela!G:G,"*I_retorno_mesma frase*")</f>
        <v>11</v>
      </c>
      <c r="F69" s="60">
        <f>SUM(C69:E69)</f>
        <v>23</v>
      </c>
      <c r="G69" s="62">
        <f>COUNTIF(Tabela!G:G,"*M_projecção_mesma frase*") + COUNTIF(Tabela!G:G,"*M_projecção(~*)_mesma frase*") - K69</f>
        <v>8</v>
      </c>
      <c r="H69" s="42">
        <f>COUNTIF(Tabela!G:G,"*M_retroprojecção_mesma frase*") + COUNTIF(Tabela!G:G,"*M_retroprojecção(~*)_mesma frase*") - L69</f>
        <v>2</v>
      </c>
      <c r="I69" s="42">
        <f>COUNTIF(Tabela!G:G,"*M_retorno_mesma frase*") - M69</f>
        <v>2</v>
      </c>
      <c r="J69" s="60">
        <f>SUM(G69:I69)</f>
        <v>12</v>
      </c>
      <c r="K69" s="63">
        <f>COUNTIF(Tabela!G:G,"*(~*)M_projecção_mesma frase*") + COUNTIF(Tabela!G:G,"*#M_projecção_mesma frase*") + COUNTIF(Tabela!G:G,"*$M_projecção_mesma frase*") + COUNTIF(Tabela!G:G,"*&amp;M_projecção_mesma frase*") + COUNTIF(Tabela!G:G,"*/M_projecção_mesma frase*") + COUNTIF(Tabela!G:G,"*}M_projecção_mesma frase*")</f>
        <v>0</v>
      </c>
      <c r="L69" s="42">
        <f>COUNTIF(Tabela!G:G,"*(~*)M_retroprojecção_mesma frase*") + COUNTIF(Tabela!G:G,"*#M_retroprojecção_mesma frase*") + COUNTIF(Tabela!G:G,"*$M_retroprojecção_mesma frase*") + COUNTIF(Tabela!G:G,"*&amp;M_retroprojecção_mesma frase*") + COUNTIF(Tabela!G:G,"*/M_retroprojecção_mesma frase*") + COUNTIF(Tabela!G:G,"*}M_retroprojecção_mesma frase*")</f>
        <v>0</v>
      </c>
      <c r="M69" s="42">
        <f>COUNTIF(Tabela!G:G,"*(~*)M_retorno_mesma frase*") + COUNTIF(Tabela!G:G,"*#M_retorno_mesma frase*") + COUNTIF(Tabela!G:G,"*$M_retorno_mesma frase*") + COUNTIF(Tabela!G:G,"*&amp;M_retorno_mesma frase*") + COUNTIF(Tabela!G:G,"*/M_retorno_mesma frase*") + COUNTIF(Tabela!G:G,"*}M_retorno_mesma frase*")</f>
        <v>2</v>
      </c>
      <c r="N69" s="66">
        <f>SUM(K69:M69)</f>
        <v>2</v>
      </c>
    </row>
    <row r="70" spans="1:14" x14ac:dyDescent="0.25">
      <c r="A70" s="41" t="s">
        <v>805</v>
      </c>
      <c r="B70" s="60">
        <f t="shared" ref="B70:B75" si="12">SUM(F70+J70+N70)</f>
        <v>5</v>
      </c>
      <c r="C70" s="61">
        <f>COUNTIF(Tabela!G:G,"*I_projecção_frase contígua*")</f>
        <v>1</v>
      </c>
      <c r="D70" s="42">
        <f>COUNTIF(Tabela!G:G,"*I_retroprojecção_frase contígua*")</f>
        <v>0</v>
      </c>
      <c r="E70" s="42">
        <f>COUNTIF(Tabela!G:G,"*I_retorno_frase contígua*")</f>
        <v>0</v>
      </c>
      <c r="F70" s="60">
        <f t="shared" ref="F70:F73" si="13">SUM(C70:E70)</f>
        <v>1</v>
      </c>
      <c r="G70" s="62">
        <f>COUNTIF(Tabela!G:G,"*M_projecção_frase contígua*") + COUNTIF(Tabela!G:G,"*M_projecção(~*)_frase contígua*") - K70</f>
        <v>3</v>
      </c>
      <c r="H70" s="42">
        <f>COUNTIF(Tabela!G:G,"*M_retroprojecção_frase contígua*") + COUNTIF(Tabela!G:G,"*M_retroprojecção(~*)_frase contígua*") - L70</f>
        <v>1</v>
      </c>
      <c r="I70" s="42">
        <f>COUNTIF(Tabela!G:G,"*M_retorno_frase contígua*") - M70</f>
        <v>0</v>
      </c>
      <c r="J70" s="60">
        <f t="shared" ref="J70:J73" si="14">SUM(G70:I70)</f>
        <v>4</v>
      </c>
      <c r="K70" s="63">
        <f>COUNTIF(Tabela!G:G,"*(~*)M_projecção_frase contígua*") + COUNTIF(Tabela!G:G,"*#M_projecção_frase contígua*") + COUNTIF(Tabela!G:G,"*$M_projecção_frase contígua*") + COUNTIF(Tabela!G:G,"*&amp;M_projecção_frase contígua*") + COUNTIF(Tabela!G:G,"*/M_projecção_frase contígua*") + COUNTIF(Tabela!G:G,"*}M_projecção_frase contígua*")</f>
        <v>0</v>
      </c>
      <c r="L70" s="42">
        <f>COUNTIF(Tabela!G:G,"*(~*)M_retroprojecção_frase contígua*") + COUNTIF(Tabela!G:G,"*#M_retroprojecção_frase contígua*") + COUNTIF(Tabela!G:G,"*$M_retroprojecção_frase contígua*") + COUNTIF(Tabela!G:G,"*&amp;M_retroprojecção_frase contígua*") + COUNTIF(Tabela!G:G,"*/M_retroprojecção_frase contígua*") + COUNTIF(Tabela!G:G,"*}M_retroprojecção_frase contígua*")</f>
        <v>0</v>
      </c>
      <c r="M70" s="42">
        <f>COUNTIF(Tabela!G:G,"*(~*)M_retorno_frase contígua*") + COUNTIF(Tabela!G:G,"*#M_retorno_frase contígua*") + COUNTIF(Tabela!G:G,"*$M_retorno_frase contígua*") + COUNTIF(Tabela!G:G,"*&amp;M_retorno_frase contígua*") + COUNTIF(Tabela!G:G,"*/M_retorno_frase contígua*") + COUNTIF(Tabela!G:G,"*}M_retorno_frase contígua*")</f>
        <v>0</v>
      </c>
      <c r="N70" s="66">
        <f t="shared" ref="N70:N73" si="15">SUM(K70:M70)</f>
        <v>0</v>
      </c>
    </row>
    <row r="71" spans="1:14" x14ac:dyDescent="0.25">
      <c r="A71" s="41" t="s">
        <v>806</v>
      </c>
      <c r="B71" s="60">
        <f t="shared" si="12"/>
        <v>1</v>
      </c>
      <c r="C71" s="61">
        <f>COUNTIF(Tabela!G:G,"*I_projecção_algumas frases*")</f>
        <v>0</v>
      </c>
      <c r="D71" s="42">
        <f>COUNTIF(Tabela!G:G,"*I_retroprojecção_algumas frases*")</f>
        <v>1</v>
      </c>
      <c r="E71" s="42">
        <f>COUNTIF(Tabela!G:G,"*I_retorno_algumas frases*")</f>
        <v>0</v>
      </c>
      <c r="F71" s="60">
        <f t="shared" si="13"/>
        <v>1</v>
      </c>
      <c r="G71" s="62">
        <f>COUNTIF(Tabela!G:G,"*M_projecção_algumas frases*") + COUNTIF(Tabela!G:G,"*M_projecção(~*)_algumas frases*") - K71</f>
        <v>0</v>
      </c>
      <c r="H71" s="42">
        <f>COUNTIF(Tabela!G:G,"*M_retroprojecção_algumas frases*") + COUNTIF(Tabela!G:G,"*M_retroprojecção(~*)_algumas frases*") - L71</f>
        <v>0</v>
      </c>
      <c r="I71" s="42">
        <f>COUNTIF(Tabela!G:G,"*M_retorno_algumas frases*") - M71</f>
        <v>0</v>
      </c>
      <c r="J71" s="60">
        <f t="shared" si="14"/>
        <v>0</v>
      </c>
      <c r="K71" s="63">
        <f>COUNTIF(Tabela!G:G,"*(~*)M_projecção_algumas frases*") + COUNTIF(Tabela!G:G,"*#M_projecção_algumas frases*") + COUNTIF(Tabela!G:G,"*$M_projecção_algumas frases*") + COUNTIF(Tabela!G:G,"*&amp;M_projecção_algumas frases*") + COUNTIF(Tabela!G:G,"*/M_projecção_algumas frases*") + COUNTIF(Tabela!G:G,"*}M_projecção_algumas frases*")</f>
        <v>0</v>
      </c>
      <c r="L71" s="42">
        <f>COUNTIF(Tabela!G:G,"*(~*)M_retroprojecção_algumas frases*") + COUNTIF(Tabela!G:G,"*#M_retroprojecção_algumas frases*") + COUNTIF(Tabela!G:G,"*$M_retroprojecção_algumas frases*") + COUNTIF(Tabela!G:G,"*&amp;M_retroprojecção_algumas frases*") + COUNTIF(Tabela!G:G,"*/M_retroprojecção_algumas frases*") + COUNTIF(Tabela!G:G,"*}M_retroprojecção_algumas frases*")</f>
        <v>0</v>
      </c>
      <c r="M71" s="42">
        <f>COUNTIF(Tabela!G:G,"*(~*)M_retorno_algumas frases*") + COUNTIF(Tabela!G:G,"*#M_retorno_algumas frases*") + COUNTIF(Tabela!G:G,"*$M_retorno_algumas frases*") + COUNTIF(Tabela!G:G,"*&amp;M_retorno_algumas frases*") + COUNTIF(Tabela!G:G,"*/M_retorno_algumas frases*") + COUNTIF(Tabela!G:G,"*}M_retorno_algumas frases*")</f>
        <v>0</v>
      </c>
      <c r="N71" s="66">
        <f t="shared" si="15"/>
        <v>0</v>
      </c>
    </row>
    <row r="72" spans="1:14" x14ac:dyDescent="0.25">
      <c r="A72" s="41" t="s">
        <v>807</v>
      </c>
      <c r="B72" s="60">
        <f t="shared" si="12"/>
        <v>1</v>
      </c>
      <c r="C72" s="61">
        <f>COUNTIF(Tabela!G:G,"*I_projecção_parágrafo contíguo*")</f>
        <v>1</v>
      </c>
      <c r="D72" s="42">
        <f>COUNTIF(Tabela!G:G,"*I_retroprojecção_parágrafo contíguo*")</f>
        <v>0</v>
      </c>
      <c r="E72" s="42">
        <f>COUNTIF(Tabela!G:G,"*I_retorno_parágrafo contíguo*")</f>
        <v>0</v>
      </c>
      <c r="F72" s="60">
        <f t="shared" si="13"/>
        <v>1</v>
      </c>
      <c r="G72" s="62">
        <f>COUNTIF(Tabela!G:G,"*M_projecção_parágrafo contíguo*") + COUNTIF(Tabela!G:G,"*M_projecção(~*)_parágrafo contíguo*") - K72</f>
        <v>0</v>
      </c>
      <c r="H72" s="42">
        <f>COUNTIF(Tabela!G:G,"*M_retroprojecção_parágrafo contíguo*") + COUNTIF(Tabela!G:G,"*M_retroprojecção(~*)_parágrafo contíguo*") - L72</f>
        <v>0</v>
      </c>
      <c r="I72" s="42">
        <f>COUNTIF(Tabela!G:G,"*M_retorno_parágrafo contíguo*") - M72</f>
        <v>0</v>
      </c>
      <c r="J72" s="60">
        <f t="shared" si="14"/>
        <v>0</v>
      </c>
      <c r="K72" s="63">
        <f>COUNTIF(Tabela!G:G,"*(~*)M_projecção_parágrafo contíguo*") + COUNTIF(Tabela!G:G,"*#M_projecção_parágrafo contíguo*") + COUNTIF(Tabela!G:G,"*$M_projecção_parágrafo contíguo*") + COUNTIF(Tabela!G:G,"*&amp;M_projecção_parágrafo contíguo*") + COUNTIF(Tabela!G:G,"*/M_projecção_parágrafo contíguo*") + COUNTIF(Tabela!G:G,"*}M_projecção_parágrafo contíguo*")</f>
        <v>0</v>
      </c>
      <c r="L72" s="42">
        <f>COUNTIF(Tabela!G:G,"*(~*)M_retroprojecção_parágrafo contíguo*") + COUNTIF(Tabela!G:G,"*#M_retroprojecção_parágrafo contíguo*") + COUNTIF(Tabela!G:G,"*$M_retroprojecção_parágrafo contíguo*") + COUNTIF(Tabela!G:G,"*&amp;M_retroprojecção_parágrafo contíguo*") + COUNTIF(Tabela!G:G,"*/M_retroprojecção_parágrafo contíguo*") + COUNTIF(Tabela!G:G,"*}M_retroprojecção_parágrafo contíguo*")</f>
        <v>0</v>
      </c>
      <c r="M72" s="42">
        <f>COUNTIF(Tabela!G:G,"*(~*)M_retorno_parágrafo contíguo*") + COUNTIF(Tabela!G:G,"*#M_retorno_parágrafo contíguo*") + COUNTIF(Tabela!G:G,"*$M_retorno_parágrafo contíguo*") + COUNTIF(Tabela!G:G,"*&amp;M_retorno_parágrafo contíguo*") + COUNTIF(Tabela!G:G,"*/M_retorno_parágrafo contíguo*") + COUNTIF(Tabela!G:G,"*}M_retorno_parágrafo contíguo*")</f>
        <v>0</v>
      </c>
      <c r="N72" s="66">
        <f t="shared" si="15"/>
        <v>0</v>
      </c>
    </row>
    <row r="73" spans="1:14" x14ac:dyDescent="0.25">
      <c r="A73" s="41" t="s">
        <v>808</v>
      </c>
      <c r="B73" s="60">
        <f t="shared" si="12"/>
        <v>1</v>
      </c>
      <c r="C73" s="61">
        <f>COUNTIF(Tabela!G:G,"*I_projecção_alguns parágrafos*")</f>
        <v>0</v>
      </c>
      <c r="D73" s="42">
        <f>COUNTIF(Tabela!G:G,"*I_retroprojecção_alguns parágrafos*")</f>
        <v>0</v>
      </c>
      <c r="E73" s="42">
        <f>COUNTIF(Tabela!G:G,"*I_retorno_alguns parágrafos*")</f>
        <v>0</v>
      </c>
      <c r="F73" s="60">
        <f t="shared" si="13"/>
        <v>0</v>
      </c>
      <c r="G73" s="62">
        <f>COUNTIF(Tabela!G:G,"*M_projecção_alguns parágrafos*") + COUNTIF(Tabela!G:G,"*M_projecção(~*)_alguns parágrafos*") - K73</f>
        <v>1</v>
      </c>
      <c r="H73" s="42">
        <f>COUNTIF(Tabela!G:G,"*M_retroprojecção_alguns parágrafos*") + COUNTIF(Tabela!G:G,"*M_retroprojecção(~*)_alguns parágrafos*") - L73</f>
        <v>0</v>
      </c>
      <c r="I73" s="42">
        <f>COUNTIF(Tabela!G:G,"*M_retorno_alguns parágrafos*") - M73</f>
        <v>0</v>
      </c>
      <c r="J73" s="60">
        <f t="shared" si="14"/>
        <v>1</v>
      </c>
      <c r="K73" s="63">
        <f>COUNTIF(Tabela!G:G,"*(~*)M_projecção_alguns parágrafos*") + COUNTIF(Tabela!G:G,"*#M_projecção_alguns parágrafos*") + COUNTIF(Tabela!G:G,"*$M_projecção_alguns parágrafos*") + COUNTIF(Tabela!G:G,"*&amp;M_projecção_alguns parágrafos*") + COUNTIF(Tabela!G:G,"*/M_projecção_alguns parágrafos*") + COUNTIF(Tabela!G:G,"*}M_projecção_alguns parágrafos*")</f>
        <v>0</v>
      </c>
      <c r="L73" s="42">
        <f>COUNTIF(Tabela!G:G,"*(~*)M_retroprojecção_alguns parágrafos*") + COUNTIF(Tabela!G:G,"*#M_retroprojecção_alguns parágrafos*") + COUNTIF(Tabela!G:G,"*$M_retroprojecção_alguns parágrafos*") + COUNTIF(Tabela!G:G,"*&amp;M_retroprojecção_alguns parágrafos*") + COUNTIF(Tabela!G:G,"*/M_retroprojecção_alguns parágrafos*") + COUNTIF(Tabela!G:G,"*}M_retroprojecção_alguns parágrafos*")</f>
        <v>0</v>
      </c>
      <c r="M73" s="42">
        <f>COUNTIF(Tabela!G:G,"*(~*)M_retorno_alguns parágrafos*") + COUNTIF(Tabela!G:G,"*#M_retorno_alguns parágrafos*") + COUNTIF(Tabela!G:G,"*$M_retorno_alguns parágrafos*") + COUNTIF(Tabela!G:G,"*&amp;M_retorno_alguns parágrafos*") + COUNTIF(Tabela!G:G,"*/M_retorno_alguns parágrafos*") + COUNTIF(Tabela!G:G,"*}M_retorno_alguns parágrafos*")</f>
        <v>0</v>
      </c>
      <c r="N73" s="66">
        <f t="shared" si="15"/>
        <v>0</v>
      </c>
    </row>
    <row r="74" spans="1:14" x14ac:dyDescent="0.25">
      <c r="A74" s="67" t="s">
        <v>764</v>
      </c>
      <c r="B74" s="122">
        <f>SUM(F74+J74+N74)</f>
        <v>45</v>
      </c>
      <c r="C74" s="68">
        <f>SUM(C69:C73)</f>
        <v>14</v>
      </c>
      <c r="D74" s="69">
        <f t="shared" ref="D74:M74" si="16">SUM(D69:D73)</f>
        <v>1</v>
      </c>
      <c r="E74" s="69">
        <f t="shared" si="16"/>
        <v>11</v>
      </c>
      <c r="F74" s="60">
        <f t="shared" si="16"/>
        <v>26</v>
      </c>
      <c r="G74" s="70">
        <f t="shared" si="16"/>
        <v>12</v>
      </c>
      <c r="H74" s="69">
        <f t="shared" si="16"/>
        <v>3</v>
      </c>
      <c r="I74" s="69">
        <f t="shared" si="16"/>
        <v>2</v>
      </c>
      <c r="J74" s="60">
        <f t="shared" si="16"/>
        <v>17</v>
      </c>
      <c r="K74" s="71">
        <f t="shared" si="16"/>
        <v>0</v>
      </c>
      <c r="L74" s="69">
        <f t="shared" si="16"/>
        <v>0</v>
      </c>
      <c r="M74" s="69">
        <f t="shared" si="16"/>
        <v>2</v>
      </c>
      <c r="N74" s="66">
        <f>SUM(K75:M75)</f>
        <v>2</v>
      </c>
    </row>
    <row r="75" spans="1:14" ht="15.75" thickBot="1" x14ac:dyDescent="0.3">
      <c r="A75" s="72" t="s">
        <v>765</v>
      </c>
      <c r="B75" s="123">
        <f t="shared" si="12"/>
        <v>45</v>
      </c>
      <c r="C75" s="73">
        <f>COUNTIF(Tabela!G:G,"*I_projecção_*")</f>
        <v>14</v>
      </c>
      <c r="D75" s="74">
        <f>COUNTIF(Tabela!G:G,"*I_retroprojecção*")</f>
        <v>1</v>
      </c>
      <c r="E75" s="74">
        <f>COUNTIF(Tabela!G:G,"*I_retorno*")</f>
        <v>11</v>
      </c>
      <c r="F75" s="75">
        <f>SUM(C75:E75)</f>
        <v>26</v>
      </c>
      <c r="G75" s="76">
        <f>COUNTIF(Tabela!G:G,"*M_projecção*") - K75</f>
        <v>12</v>
      </c>
      <c r="H75" s="77">
        <f>COUNTIF(Tabela!G:G,"*M_retroprojecção*") - L75</f>
        <v>3</v>
      </c>
      <c r="I75" s="77">
        <f>COUNTIF(Tabela!G:G,"*M_retorno*") - M75</f>
        <v>2</v>
      </c>
      <c r="J75" s="78">
        <f>SUM(G75:I75)</f>
        <v>17</v>
      </c>
      <c r="K75" s="79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0</v>
      </c>
      <c r="L75" s="80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M75" s="80">
        <f>COUNTIF(Tabela!G:G,"*(~*)M_retorno*") + COUNTIF(Tabela!G:G,"*#M_retorno*") + COUNTIF(Tabela!G:G,"*$M_retorno*") + COUNTIF(Tabela!G:G,"*&amp;M_retorno*") + COUNTIF(Tabela!G:G,"*/M_retorno*") + COUNTIF(Tabela!G:G,"*}M_retorno*")</f>
        <v>2</v>
      </c>
      <c r="N75" s="81">
        <f>SUM(K75:M75)</f>
        <v>2</v>
      </c>
    </row>
    <row r="76" spans="1:14" ht="15.75" thickBot="1" x14ac:dyDescent="0.3">
      <c r="A76" s="82"/>
      <c r="B76" s="3"/>
      <c r="C76" s="2"/>
      <c r="D76" s="2"/>
      <c r="E76" s="2"/>
      <c r="F76" s="9"/>
      <c r="G76" s="2"/>
      <c r="H76" s="2"/>
      <c r="I76" s="2"/>
      <c r="J76" s="2"/>
    </row>
    <row r="77" spans="1:14" ht="15.75" thickBot="1" x14ac:dyDescent="0.3">
      <c r="A77" s="83" t="s">
        <v>777</v>
      </c>
      <c r="B77" s="84"/>
      <c r="C77" s="84"/>
      <c r="D77" s="84"/>
      <c r="E77" s="84"/>
      <c r="F77" s="85"/>
      <c r="G77" s="2"/>
      <c r="H77" s="174" t="s">
        <v>872</v>
      </c>
      <c r="I77" s="175"/>
      <c r="J77" s="175"/>
      <c r="K77" s="175"/>
      <c r="L77" s="176"/>
    </row>
    <row r="78" spans="1:14" x14ac:dyDescent="0.25">
      <c r="A78" s="31"/>
      <c r="B78" s="86" t="s">
        <v>756</v>
      </c>
      <c r="C78" s="87" t="s">
        <v>757</v>
      </c>
      <c r="D78" s="14" t="s">
        <v>753</v>
      </c>
      <c r="E78" s="87" t="s">
        <v>809</v>
      </c>
      <c r="F78" s="15" t="s">
        <v>17</v>
      </c>
      <c r="G78" s="2"/>
      <c r="H78" s="39"/>
      <c r="I78" s="40" t="s">
        <v>771</v>
      </c>
      <c r="J78" s="40" t="s">
        <v>772</v>
      </c>
      <c r="K78" s="40" t="s">
        <v>773</v>
      </c>
      <c r="L78" s="36" t="s">
        <v>873</v>
      </c>
    </row>
    <row r="79" spans="1:14" x14ac:dyDescent="0.25">
      <c r="A79" s="5" t="s">
        <v>804</v>
      </c>
      <c r="B79" s="6">
        <f>COUNTIF(Tabela!G:G,"*(g)I_mesma frase*")</f>
        <v>17</v>
      </c>
      <c r="C79" s="6">
        <f>COUNTIF(Tabela!G:G,"*(g)M_mesma frase*")</f>
        <v>46</v>
      </c>
      <c r="D79" s="6">
        <f>COUNTIF(Tabela!G:G,"*(g)(~*)M_mesma frase*") + COUNTIF(Tabela!G:G,"*(g)#M_mesma frase*") + COUNTIF(Tabela!G:G,"*(g)$M_mesma frase*") + COUNTIF(Tabela!G:G,"*(g)&amp;M_mesma frase*") + COUNTIF(Tabela!G:G,"*(g)/M_mesma frase*") + COUNTIF(Tabela!G:G,"*(g)}M_mesma frase*")</f>
        <v>2</v>
      </c>
      <c r="E79" s="6">
        <f>COUNTIF(Tabela!G:G,"*(g)M(*)_mesma frase*")</f>
        <v>9</v>
      </c>
      <c r="F79" s="115">
        <f>SUM(B79:E79)</f>
        <v>74</v>
      </c>
      <c r="G79" s="2"/>
      <c r="H79" s="65" t="s">
        <v>804</v>
      </c>
      <c r="I79" s="42">
        <f t="shared" ref="I79:K84" si="17">SUM(C69, G69, K69)</f>
        <v>20</v>
      </c>
      <c r="J79" s="42">
        <f t="shared" si="17"/>
        <v>2</v>
      </c>
      <c r="K79" s="42">
        <f t="shared" si="17"/>
        <v>15</v>
      </c>
      <c r="L79" s="10">
        <f>SUM(I79:K79)</f>
        <v>37</v>
      </c>
    </row>
    <row r="80" spans="1:14" x14ac:dyDescent="0.25">
      <c r="A80" s="7" t="s">
        <v>805</v>
      </c>
      <c r="B80" s="6">
        <f>COUNTIF(Tabela!G:G,"*(g)I_frase contígua*")</f>
        <v>0</v>
      </c>
      <c r="C80" s="6">
        <f>COUNTIF(Tabela!G:G,"*(g)M_frase contígua*")</f>
        <v>1</v>
      </c>
      <c r="D80" s="6">
        <f>COUNTIF(Tabela!G:G,"*(g)(~*)M_frase contígua*") + COUNTIF(Tabela!G:G,"*(g)#M_frase contígua*") + COUNTIF(Tabela!G:G,"*(g)$M_frase contígua*") + COUNTIF(Tabela!G:G,"*(g)&amp;M_frase contígua*") + COUNTIF(Tabela!G:G,"*(g)/M_frase contígua*") + COUNTIF(Tabela!G:G,"*(g)}M_frase contígua*")</f>
        <v>0</v>
      </c>
      <c r="E80" s="6">
        <f>COUNTIF(Tabela!G:G,"*(g)M(*)_frase contígua*")</f>
        <v>0</v>
      </c>
      <c r="F80" s="115">
        <f t="shared" ref="F80:F83" si="18">SUM(B80:E80)</f>
        <v>1</v>
      </c>
      <c r="G80" s="2"/>
      <c r="H80" s="41" t="s">
        <v>805</v>
      </c>
      <c r="I80" s="42">
        <f t="shared" si="17"/>
        <v>4</v>
      </c>
      <c r="J80" s="42">
        <f t="shared" si="17"/>
        <v>1</v>
      </c>
      <c r="K80" s="42">
        <f t="shared" si="17"/>
        <v>0</v>
      </c>
      <c r="L80" s="10">
        <f t="shared" ref="L80:L84" si="19">SUM(I80:K80)</f>
        <v>5</v>
      </c>
    </row>
    <row r="81" spans="1:12" x14ac:dyDescent="0.25">
      <c r="A81" s="7" t="s">
        <v>806</v>
      </c>
      <c r="B81" s="6">
        <f>COUNTIF(Tabela!G:G,"*(g)I_algumas frases*")</f>
        <v>0</v>
      </c>
      <c r="C81" s="6">
        <f>COUNTIF(Tabela!G:G,"*(g)M_algumas frases*")</f>
        <v>0</v>
      </c>
      <c r="D81" s="6">
        <f>COUNTIF(Tabela!G:G,"*(g)(~*)M_algumas frases*") + COUNTIF(Tabela!G:G,"*(g)#M_algumas frases*") + COUNTIF(Tabela!G:G,"*(g)$M_algumas frases*") + COUNTIF(Tabela!G:G,"*(g)&amp;M_algumas frases*") + COUNTIF(Tabela!G:G,"*(g)/M_algumas frases*") + COUNTIF(Tabela!G:G,"*(g)}M_algumas frases*")</f>
        <v>0</v>
      </c>
      <c r="E81" s="6">
        <f>COUNTIF(Tabela!G:G,"*(g)M(*)_algumas frases*")</f>
        <v>0</v>
      </c>
      <c r="F81" s="115">
        <f t="shared" si="18"/>
        <v>0</v>
      </c>
      <c r="G81" s="2"/>
      <c r="H81" s="41" t="s">
        <v>806</v>
      </c>
      <c r="I81" s="42">
        <f t="shared" si="17"/>
        <v>0</v>
      </c>
      <c r="J81" s="42">
        <f t="shared" si="17"/>
        <v>1</v>
      </c>
      <c r="K81" s="42">
        <f t="shared" si="17"/>
        <v>0</v>
      </c>
      <c r="L81" s="10">
        <f t="shared" si="19"/>
        <v>1</v>
      </c>
    </row>
    <row r="82" spans="1:12" x14ac:dyDescent="0.25">
      <c r="A82" s="7" t="s">
        <v>807</v>
      </c>
      <c r="B82" s="6">
        <f>COUNTIF(Tabela!G:G,"*(g)I_parágrafo contíguo*")</f>
        <v>0</v>
      </c>
      <c r="C82" s="6">
        <f>COUNTIF(Tabela!G:G,"*(g)M_parágrafo contíguo*")</f>
        <v>0</v>
      </c>
      <c r="D82" s="6">
        <f>COUNTIF(Tabela!G:G,"*(g)(~*)M_parágrafo contíguo*") + COUNTIF(Tabela!G:G,"*(g)#M_parágrafo contíguo*") + COUNTIF(Tabela!G:G,"*(g)$M_parágrafo contíguo*") + COUNTIF(Tabela!G:G,"*(g)&amp;M_parágrafo contíguo*") + COUNTIF(Tabela!G:G,"*(g)/M_parágrafo contíguo*") + COUNTIF(Tabela!G:G,"*(g)}M_parágrafo contíguo*")</f>
        <v>0</v>
      </c>
      <c r="E82" s="6">
        <f>COUNTIF(Tabela!G:G,"*(g)M(*)_parágrafo contíguo*")</f>
        <v>0</v>
      </c>
      <c r="F82" s="115">
        <f t="shared" si="18"/>
        <v>0</v>
      </c>
      <c r="G82" s="2"/>
      <c r="H82" s="41" t="s">
        <v>807</v>
      </c>
      <c r="I82" s="42">
        <f t="shared" si="17"/>
        <v>1</v>
      </c>
      <c r="J82" s="42">
        <f t="shared" si="17"/>
        <v>0</v>
      </c>
      <c r="K82" s="42">
        <f t="shared" si="17"/>
        <v>0</v>
      </c>
      <c r="L82" s="10">
        <f t="shared" si="19"/>
        <v>1</v>
      </c>
    </row>
    <row r="83" spans="1:12" x14ac:dyDescent="0.25">
      <c r="A83" s="7" t="s">
        <v>808</v>
      </c>
      <c r="B83" s="6">
        <f>COUNTIF(Tabela!G:G,"*(g)I_alguns parágrafos*")</f>
        <v>0</v>
      </c>
      <c r="C83" s="6">
        <f>COUNTIF(Tabela!G:G,"*(g)M_alguns parágrafos*")</f>
        <v>0</v>
      </c>
      <c r="D83" s="6">
        <f>COUNTIF(Tabela!G:G,"*(g)(~*)M_alguns parágrafos*") + COUNTIF(Tabela!G:G,"*(g)#M_alguns parágrafos*") + COUNTIF(Tabela!G:G,"*(g)$M_alguns parágrafos*") + COUNTIF(Tabela!G:G,"*(g)&amp;M_alguns parágrafos*") + COUNTIF(Tabela!G:G,"*(g)/M_alguns parágrafos*") + COUNTIF(Tabela!G:G,"*(g)}M_alguns parágrafos*")</f>
        <v>0</v>
      </c>
      <c r="E83" s="6">
        <f>COUNTIF(Tabela!G:G,"*(g)M(*)_alguns parágrafos*")</f>
        <v>0</v>
      </c>
      <c r="F83" s="115">
        <f t="shared" si="18"/>
        <v>0</v>
      </c>
      <c r="G83" s="2"/>
      <c r="H83" s="41" t="s">
        <v>808</v>
      </c>
      <c r="I83" s="42">
        <f t="shared" si="17"/>
        <v>1</v>
      </c>
      <c r="J83" s="42">
        <f t="shared" si="17"/>
        <v>0</v>
      </c>
      <c r="K83" s="42">
        <f t="shared" si="17"/>
        <v>0</v>
      </c>
      <c r="L83" s="10">
        <f t="shared" si="19"/>
        <v>1</v>
      </c>
    </row>
    <row r="84" spans="1:12" ht="15.75" thickBot="1" x14ac:dyDescent="0.3">
      <c r="A84" s="88" t="s">
        <v>764</v>
      </c>
      <c r="B84" s="124">
        <f>SUM(B79:B83)</f>
        <v>17</v>
      </c>
      <c r="C84" s="124">
        <f>SUM(C79:C83)</f>
        <v>47</v>
      </c>
      <c r="D84" s="124">
        <f>SUM(D79:D83)</f>
        <v>2</v>
      </c>
      <c r="E84" s="124">
        <f>SUM(E79:E83)</f>
        <v>9</v>
      </c>
      <c r="F84" s="125">
        <f>SUM(F79:F83)</f>
        <v>75</v>
      </c>
      <c r="G84" s="2"/>
      <c r="H84" s="26" t="s">
        <v>17</v>
      </c>
      <c r="I84" s="27">
        <f t="shared" si="17"/>
        <v>26</v>
      </c>
      <c r="J84" s="27">
        <f t="shared" si="17"/>
        <v>4</v>
      </c>
      <c r="K84" s="27">
        <f t="shared" si="17"/>
        <v>15</v>
      </c>
      <c r="L84" s="117">
        <f t="shared" si="19"/>
        <v>45</v>
      </c>
    </row>
    <row r="85" spans="1:12" ht="15.75" thickBot="1" x14ac:dyDescent="0.3">
      <c r="A85" s="8" t="s">
        <v>17</v>
      </c>
      <c r="B85" s="116">
        <f>COUNTIF(Tabela!G:G,"(g)I_*")</f>
        <v>17</v>
      </c>
      <c r="C85" s="116">
        <f>COUNTIF(Tabela!G:G,"(g)M_*")</f>
        <v>47</v>
      </c>
      <c r="D85" s="116">
        <f>COUNTIF(Tabela!G:G,"(g)(~*)M_*") + COUNTIF(Tabela!G:G,"(g)#M_*") + COUNTIF(Tabela!G:G,"(g)$M_*") + COUNTIF(Tabela!G:G,"(g)&amp;M_*") + COUNTIF(Tabela!G:G,"(g)/M_*") + COUNTIF(Tabela!G:G,"(g)}M_*")</f>
        <v>2</v>
      </c>
      <c r="E85" s="116">
        <f>COUNTIF(Tabela!G:G,"(g)M(*")</f>
        <v>9</v>
      </c>
      <c r="F85" s="111">
        <f>SUM(B85:E85)</f>
        <v>75</v>
      </c>
      <c r="G85" s="9"/>
      <c r="H85" s="2"/>
      <c r="I85" s="2"/>
      <c r="J85" s="2"/>
    </row>
    <row r="86" spans="1:12" ht="15.75" thickBot="1" x14ac:dyDescent="0.3">
      <c r="A86" s="82"/>
      <c r="B86" s="2"/>
      <c r="C86" s="2"/>
      <c r="D86" s="2"/>
      <c r="E86" s="2"/>
      <c r="F86" s="2"/>
      <c r="G86" s="2"/>
      <c r="H86" s="2"/>
      <c r="I86" s="2"/>
      <c r="J86" s="2"/>
    </row>
    <row r="87" spans="1:12" ht="15.75" thickBot="1" x14ac:dyDescent="0.3">
      <c r="A87" s="83" t="s">
        <v>778</v>
      </c>
      <c r="B87" s="85"/>
      <c r="C87" s="2"/>
      <c r="D87" s="2"/>
      <c r="E87" s="2"/>
      <c r="F87" s="2"/>
      <c r="G87" s="2"/>
      <c r="H87" s="2"/>
      <c r="I87" s="2"/>
      <c r="J87" s="2"/>
    </row>
    <row r="88" spans="1:12" x14ac:dyDescent="0.25">
      <c r="A88" s="31"/>
      <c r="B88" s="15" t="s">
        <v>810</v>
      </c>
      <c r="C88" s="2"/>
      <c r="D88" s="2"/>
      <c r="E88" s="2"/>
      <c r="F88" s="2"/>
      <c r="G88" s="2"/>
      <c r="H88" s="2"/>
      <c r="I88" s="2"/>
      <c r="J88" s="2"/>
    </row>
    <row r="89" spans="1:12" x14ac:dyDescent="0.25">
      <c r="A89" s="5" t="s">
        <v>804</v>
      </c>
      <c r="B89" s="10">
        <f>COUNTIF(Tabela!G:G,"*rep_mesma frase*")</f>
        <v>3</v>
      </c>
      <c r="C89" s="2"/>
      <c r="D89" s="2"/>
      <c r="E89" s="2"/>
      <c r="F89" s="2"/>
      <c r="G89" s="2"/>
      <c r="H89" s="2"/>
      <c r="I89" s="2"/>
      <c r="J89" s="2"/>
    </row>
    <row r="90" spans="1:12" x14ac:dyDescent="0.25">
      <c r="A90" s="7" t="s">
        <v>805</v>
      </c>
      <c r="B90" s="10">
        <f>COUNTIF(Tabela!G:G,"*rep_frase contígua*")</f>
        <v>0</v>
      </c>
      <c r="C90" s="2"/>
      <c r="D90" s="2"/>
      <c r="E90" s="2"/>
      <c r="F90" s="2"/>
      <c r="G90" s="2"/>
      <c r="H90" s="2"/>
      <c r="I90" s="2"/>
      <c r="J90" s="2"/>
    </row>
    <row r="91" spans="1:12" x14ac:dyDescent="0.25">
      <c r="A91" s="7" t="s">
        <v>806</v>
      </c>
      <c r="B91" s="10">
        <f>COUNTIF(Tabela!G:G,"*rep_algumas frases*")</f>
        <v>0</v>
      </c>
      <c r="C91" s="2"/>
      <c r="D91" s="2"/>
      <c r="E91" s="2"/>
      <c r="F91" s="2"/>
      <c r="G91" s="2"/>
      <c r="H91" s="2"/>
      <c r="I91" s="2"/>
      <c r="J91" s="2"/>
    </row>
    <row r="92" spans="1:12" x14ac:dyDescent="0.25">
      <c r="A92" s="7" t="s">
        <v>807</v>
      </c>
      <c r="B92" s="10">
        <f>COUNTIF(Tabela!G:G,"*rep_parágrafo contíguo*")</f>
        <v>1</v>
      </c>
      <c r="C92" s="2"/>
      <c r="D92" s="2"/>
      <c r="E92" s="2"/>
      <c r="F92" s="2"/>
      <c r="G92" s="2"/>
      <c r="H92" s="2"/>
      <c r="I92" s="2"/>
      <c r="J92" s="2"/>
    </row>
    <row r="93" spans="1:12" x14ac:dyDescent="0.25">
      <c r="A93" s="7" t="s">
        <v>808</v>
      </c>
      <c r="B93" s="10">
        <f>COUNTIF(Tabela!G:G,"*rep_alguns parágrafos*")</f>
        <v>0</v>
      </c>
      <c r="C93" s="2"/>
      <c r="D93" s="2"/>
      <c r="E93" s="2"/>
      <c r="F93" s="2"/>
      <c r="G93" s="2"/>
      <c r="H93" s="2"/>
      <c r="I93" s="2"/>
      <c r="J93" s="2"/>
    </row>
    <row r="94" spans="1:12" ht="15.75" thickBot="1" x14ac:dyDescent="0.3">
      <c r="A94" s="8" t="s">
        <v>17</v>
      </c>
      <c r="B94" s="32">
        <f>COUNTIF(Tabela!G:G,"*rep_*")</f>
        <v>4</v>
      </c>
      <c r="C94" s="2"/>
      <c r="D94" s="2"/>
      <c r="E94" s="2"/>
      <c r="F94" s="2"/>
      <c r="G94" s="2"/>
      <c r="H94" s="2"/>
      <c r="I94" s="2"/>
      <c r="J94" s="2"/>
    </row>
    <row r="95" spans="1:12" x14ac:dyDescent="0.25">
      <c r="A95" s="2"/>
      <c r="B95" s="2"/>
    </row>
    <row r="96" spans="1:12" ht="15.75" thickBot="1" x14ac:dyDescent="0.3">
      <c r="A96" s="93" t="s">
        <v>779</v>
      </c>
      <c r="B96" s="2"/>
    </row>
    <row r="97" spans="1:8" ht="15.75" thickBot="1" x14ac:dyDescent="0.3">
      <c r="A97" s="162" t="s">
        <v>811</v>
      </c>
      <c r="B97" s="163"/>
      <c r="C97" s="163"/>
      <c r="D97" s="163"/>
      <c r="E97" s="163"/>
      <c r="F97" s="163"/>
      <c r="G97" s="57"/>
      <c r="H97" s="58"/>
    </row>
    <row r="98" spans="1:8" ht="45" x14ac:dyDescent="0.25">
      <c r="A98" s="44"/>
      <c r="B98" s="52" t="s">
        <v>812</v>
      </c>
      <c r="C98" s="52" t="s">
        <v>883</v>
      </c>
      <c r="D98" s="52" t="s">
        <v>813</v>
      </c>
      <c r="E98" s="52" t="s">
        <v>814</v>
      </c>
      <c r="F98" s="40" t="s">
        <v>771</v>
      </c>
      <c r="G98" s="40" t="s">
        <v>772</v>
      </c>
      <c r="H98" s="126" t="s">
        <v>764</v>
      </c>
    </row>
    <row r="99" spans="1:8" x14ac:dyDescent="0.25">
      <c r="A99" s="89" t="s">
        <v>804</v>
      </c>
      <c r="B99" s="6">
        <f>COUNTIF(Tabela!G:G,"*cont inc_mesma frase*")</f>
        <v>11</v>
      </c>
      <c r="C99" s="6">
        <f>COUNTIF(Tabela!G:G,"(*)antes_mesma frase")</f>
        <v>2</v>
      </c>
      <c r="D99" s="6">
        <f>COUNTIF(Tabela!G:G,"antes_mesma frase")</f>
        <v>0</v>
      </c>
      <c r="E99" s="6">
        <f>COUNTIF(Tabela!G:G,"mesma palavra_mesma frase")</f>
        <v>0</v>
      </c>
      <c r="F99" s="6">
        <f>COUNTIF(Tabela!G:G,"*projecção(*)_mesma frase*")</f>
        <v>5</v>
      </c>
      <c r="G99" s="6">
        <f>COUNTIF(Tabela!G:G,"*retroprojecção(*)_mesma frase*")</f>
        <v>0</v>
      </c>
      <c r="H99" s="115">
        <f t="shared" ref="H99:H103" si="20">SUM(B99:G99)</f>
        <v>18</v>
      </c>
    </row>
    <row r="100" spans="1:8" x14ac:dyDescent="0.25">
      <c r="A100" s="90" t="s">
        <v>805</v>
      </c>
      <c r="B100" s="6">
        <f>COUNTIF(Tabela!G:G,"cont inc_frase contígua")</f>
        <v>0</v>
      </c>
      <c r="C100" s="6">
        <f>COUNTIF(Tabela!G:G,"(*)antes_frase contígua")</f>
        <v>0</v>
      </c>
      <c r="D100" s="6">
        <f>COUNTIF(Tabela!G:G,"antes_frase contígua")</f>
        <v>0</v>
      </c>
      <c r="E100" s="6">
        <f>COUNTIF(Tabela!G:G,"mesma palavra_frase contígua")</f>
        <v>0</v>
      </c>
      <c r="F100" s="6">
        <f>COUNTIF(Tabela!G:G,"*projecção(*)_frase contígua*")</f>
        <v>1</v>
      </c>
      <c r="G100" s="6">
        <f>COUNTIF(Tabela!G:G,"*retroprojecção(*)_frase contígua*")</f>
        <v>0</v>
      </c>
      <c r="H100" s="115">
        <f t="shared" si="20"/>
        <v>1</v>
      </c>
    </row>
    <row r="101" spans="1:8" x14ac:dyDescent="0.25">
      <c r="A101" s="90" t="s">
        <v>806</v>
      </c>
      <c r="B101" s="6">
        <f>COUNTIF(Tabela!G:G,"cont inc_algumas frases")</f>
        <v>0</v>
      </c>
      <c r="C101" s="6">
        <f>COUNTIF(Tabela!G:G,"(*)antes_algumas frases")</f>
        <v>0</v>
      </c>
      <c r="D101" s="6">
        <f>COUNTIF(Tabela!G:G,"antes_algumas frases")</f>
        <v>0</v>
      </c>
      <c r="E101" s="6">
        <f>COUNTIF(Tabela!G:G,"mesma palavra_algumas frases")</f>
        <v>0</v>
      </c>
      <c r="F101" s="6">
        <f>COUNTIF(Tabela!G:G,"*projecção(*)_algumas frases*")</f>
        <v>0</v>
      </c>
      <c r="G101" s="6">
        <f>COUNTIF(Tabela!G:G,"*retroprojecção(*)_algumas frases*")</f>
        <v>0</v>
      </c>
      <c r="H101" s="115">
        <f t="shared" si="20"/>
        <v>0</v>
      </c>
    </row>
    <row r="102" spans="1:8" x14ac:dyDescent="0.25">
      <c r="A102" s="90" t="s">
        <v>807</v>
      </c>
      <c r="B102" s="6">
        <f>COUNTIF(Tabela!G:G,"cont inc_parágrafo contíguo")</f>
        <v>1</v>
      </c>
      <c r="C102" s="6">
        <f>COUNTIF(Tabela!G:G,"(*)antes_parágrafo contíguo")</f>
        <v>0</v>
      </c>
      <c r="D102" s="6">
        <f>COUNTIF(Tabela!G:G,"antes_parágrafo contíguo")</f>
        <v>0</v>
      </c>
      <c r="E102" s="6">
        <f>COUNTIF(Tabela!G:G,"mesma palavra_parágrafo contíguo")</f>
        <v>0</v>
      </c>
      <c r="F102" s="6">
        <f>COUNTIF(Tabela!G:G,"*projecção(*)_parágrafo contíguo*")</f>
        <v>0</v>
      </c>
      <c r="G102" s="6">
        <f>COUNTIF(Tabela!G:G,"*retroprojecção(*)_parágrafo contíguo*")</f>
        <v>0</v>
      </c>
      <c r="H102" s="115">
        <f t="shared" si="20"/>
        <v>1</v>
      </c>
    </row>
    <row r="103" spans="1:8" x14ac:dyDescent="0.25">
      <c r="A103" s="90" t="s">
        <v>808</v>
      </c>
      <c r="B103" s="6">
        <f>COUNTIF(Tabela!G:G,"cont inc_alguns parágrafos")</f>
        <v>0</v>
      </c>
      <c r="C103" s="6">
        <f>COUNTIF(Tabela!G:G,"(*)antes_alguns parágrafos")</f>
        <v>0</v>
      </c>
      <c r="D103" s="6">
        <f>COUNTIF(Tabela!G:G,"antes_alguns parágrafos")</f>
        <v>0</v>
      </c>
      <c r="E103" s="6">
        <f>COUNTIF(Tabela!G:G,"mesma palavra_alguns parágrafos*")</f>
        <v>2</v>
      </c>
      <c r="F103" s="6">
        <f>COUNTIF(Tabela!G:G,"*projecção(*)_alguns parágrafos*")</f>
        <v>0</v>
      </c>
      <c r="G103" s="6">
        <f>COUNTIF(Tabela!G:G,"*retroprojecção(*)_alguns parágrafos*")</f>
        <v>0</v>
      </c>
      <c r="H103" s="115">
        <f t="shared" si="20"/>
        <v>2</v>
      </c>
    </row>
    <row r="104" spans="1:8" x14ac:dyDescent="0.25">
      <c r="A104" s="127" t="s">
        <v>764</v>
      </c>
      <c r="B104" s="69">
        <f t="shared" ref="B104:H104" si="21">SUM(B99:B103)</f>
        <v>12</v>
      </c>
      <c r="C104" s="69">
        <f t="shared" si="21"/>
        <v>2</v>
      </c>
      <c r="D104" s="69">
        <f t="shared" si="21"/>
        <v>0</v>
      </c>
      <c r="E104" s="69">
        <f t="shared" si="21"/>
        <v>2</v>
      </c>
      <c r="F104" s="69">
        <f t="shared" si="21"/>
        <v>6</v>
      </c>
      <c r="G104" s="69">
        <f t="shared" si="21"/>
        <v>0</v>
      </c>
      <c r="H104" s="115">
        <f t="shared" si="21"/>
        <v>22</v>
      </c>
    </row>
    <row r="105" spans="1:8" ht="15.75" thickBot="1" x14ac:dyDescent="0.3">
      <c r="A105" s="8" t="s">
        <v>765</v>
      </c>
      <c r="B105" s="116">
        <f>COUNTIF(Tabela!G:G,"cont inc_*")</f>
        <v>12</v>
      </c>
      <c r="C105" s="116">
        <f>COUNTIF(Tabela!G:G,"(*)antes_*")</f>
        <v>2</v>
      </c>
      <c r="D105" s="116">
        <f>COUNTIF(Tabela!G:G,"antes_*")</f>
        <v>0</v>
      </c>
      <c r="E105" s="116">
        <f>COUNTIF(Tabela!G:G,"mesma palavra_*")</f>
        <v>2</v>
      </c>
      <c r="F105" s="116">
        <f>COUNTIF(Tabela!G:G,"*projecção(*)*")</f>
        <v>6</v>
      </c>
      <c r="G105" s="116">
        <f>COUNTIF(Tabela!G:G,"*retroprojecção(*)*")</f>
        <v>0</v>
      </c>
      <c r="H105" s="128">
        <f>SUM(B105:G105)</f>
        <v>22</v>
      </c>
    </row>
    <row r="106" spans="1:8" ht="15.75" thickBot="1" x14ac:dyDescent="0.3">
      <c r="A106" s="91"/>
      <c r="B106" s="2"/>
      <c r="C106" s="2"/>
      <c r="D106" s="2"/>
      <c r="E106" s="2"/>
      <c r="F106" s="2"/>
      <c r="G106" s="2"/>
    </row>
    <row r="107" spans="1:8" ht="15.75" thickBot="1" x14ac:dyDescent="0.3">
      <c r="A107" s="18" t="s">
        <v>882</v>
      </c>
      <c r="B107" s="43"/>
      <c r="C107" s="43"/>
      <c r="D107" s="92"/>
      <c r="E107" s="93"/>
      <c r="F107" s="2"/>
      <c r="G107" s="2"/>
    </row>
    <row r="108" spans="1:8" ht="45" x14ac:dyDescent="0.25">
      <c r="A108" s="94" t="s">
        <v>815</v>
      </c>
      <c r="B108" s="46" t="s">
        <v>816</v>
      </c>
      <c r="C108" s="95" t="s">
        <v>817</v>
      </c>
      <c r="D108" s="96" t="s">
        <v>19</v>
      </c>
      <c r="E108" s="9"/>
      <c r="F108" s="2"/>
      <c r="G108" s="2"/>
    </row>
    <row r="109" spans="1:8" ht="15.75" thickBot="1" x14ac:dyDescent="0.3">
      <c r="A109" s="26">
        <f>COUNTIF(Tabela!C:C,"*%mediata*")</f>
        <v>39</v>
      </c>
      <c r="B109" s="27">
        <f>COUNTIF(Tabela!C:C,"*»mediata*")</f>
        <v>0</v>
      </c>
      <c r="C109" s="27">
        <f>COUNTIF(Tabela!C:C,"*(ª)mediata*")</f>
        <v>59</v>
      </c>
      <c r="D109" s="32">
        <f>SUM(A109:C109)</f>
        <v>98</v>
      </c>
      <c r="E109" s="2"/>
      <c r="F109" s="2"/>
      <c r="G109" s="2"/>
    </row>
    <row r="110" spans="1:8" ht="15.75" thickBot="1" x14ac:dyDescent="0.3">
      <c r="A110" s="91"/>
      <c r="B110" s="2"/>
      <c r="C110" s="2"/>
      <c r="D110" s="2"/>
      <c r="E110" s="2"/>
      <c r="F110" s="2"/>
      <c r="G110" s="2"/>
    </row>
    <row r="111" spans="1:8" ht="15.75" thickBot="1" x14ac:dyDescent="0.3">
      <c r="A111" s="56" t="s">
        <v>885</v>
      </c>
      <c r="B111" s="57"/>
      <c r="C111" s="57"/>
      <c r="D111" s="58"/>
      <c r="E111" s="2"/>
    </row>
    <row r="112" spans="1:8" x14ac:dyDescent="0.25">
      <c r="A112" s="97" t="s">
        <v>18</v>
      </c>
      <c r="B112" s="98" t="s">
        <v>15</v>
      </c>
      <c r="C112" s="99" t="s">
        <v>16</v>
      </c>
      <c r="D112" s="100" t="s">
        <v>17</v>
      </c>
    </row>
    <row r="113" spans="1:4" x14ac:dyDescent="0.25">
      <c r="A113" s="7">
        <v>41</v>
      </c>
      <c r="B113" s="101">
        <f ca="1">COUNTIF(INDIRECT("Tabela!C"&amp;MATCH(A113,Tabela!A:A,0)&amp;":C"&amp;MATCH(A113+1,Tabela!A:A,0)-1),"*imediata*")</f>
        <v>10</v>
      </c>
      <c r="C113" s="101">
        <f ca="1">COUNTIF(INDIRECT("Tabela!C"&amp;MATCH(A113,Tabela!A:A,0)&amp;":C"&amp;MATCH(A113+1,Tabela!A:A,0)-1),"*mediata*")-B113</f>
        <v>27</v>
      </c>
      <c r="D113" s="11">
        <f ca="1">SUM(B113:C113)</f>
        <v>37</v>
      </c>
    </row>
    <row r="114" spans="1:4" x14ac:dyDescent="0.25">
      <c r="A114" s="7">
        <f>A113+1</f>
        <v>42</v>
      </c>
      <c r="B114" s="101">
        <f ca="1">COUNTIF(INDIRECT("Tabela!C"&amp;MATCH(A114,Tabela!A:A,0)&amp;":C"&amp;MATCH(A114+1,Tabela!A:A,0)-1),"*imediata*")</f>
        <v>12</v>
      </c>
      <c r="C114" s="101">
        <f ca="1">COUNTIF(INDIRECT("Tabela!C"&amp;MATCH(A114,Tabela!A:A,0)&amp;":C"&amp;MATCH(A114+1,Tabela!A:A,0)-1),"*mediata*")-B114</f>
        <v>14</v>
      </c>
      <c r="D114" s="11">
        <f ca="1">SUM(B114:C114)</f>
        <v>26</v>
      </c>
    </row>
    <row r="115" spans="1:4" x14ac:dyDescent="0.25">
      <c r="A115" s="7">
        <f t="shared" ref="A115:A155" si="22">A114+1</f>
        <v>43</v>
      </c>
      <c r="B115" s="101">
        <f ca="1">COUNTIF(INDIRECT("Tabela!C"&amp;MATCH(A115,Tabela!A:A,0)&amp;":C"&amp;MATCH(A115+1,Tabela!A:A,0)-1),"*imediata*")</f>
        <v>9</v>
      </c>
      <c r="C115" s="101">
        <f ca="1">COUNTIF(INDIRECT("Tabela!C"&amp;MATCH(A115,Tabela!A:A,0)&amp;":C"&amp;MATCH(A115+1,Tabela!A:A,0)-1),"*mediata*")-B115</f>
        <v>16</v>
      </c>
      <c r="D115" s="11">
        <f t="shared" ref="D115:D155" ca="1" si="23">SUM(B115:C115)</f>
        <v>25</v>
      </c>
    </row>
    <row r="116" spans="1:4" x14ac:dyDescent="0.25">
      <c r="A116" s="7">
        <f t="shared" si="22"/>
        <v>44</v>
      </c>
      <c r="B116" s="101">
        <f ca="1">COUNTIF(INDIRECT("Tabela!C"&amp;MATCH(A116,Tabela!A:A,0)&amp;":C"&amp;MATCH(A116+1,Tabela!A:A,0)-1),"*imediata*")</f>
        <v>2</v>
      </c>
      <c r="C116" s="101">
        <f ca="1">COUNTIF(INDIRECT("Tabela!C"&amp;MATCH(A116,Tabela!A:A,0)&amp;":C"&amp;MATCH(A116+1,Tabela!A:A,0)-1),"*mediata*")-B116</f>
        <v>2</v>
      </c>
      <c r="D116" s="11">
        <f t="shared" ca="1" si="23"/>
        <v>4</v>
      </c>
    </row>
    <row r="117" spans="1:4" x14ac:dyDescent="0.25">
      <c r="A117" s="7">
        <f t="shared" si="22"/>
        <v>45</v>
      </c>
      <c r="B117" s="101">
        <f ca="1">COUNTIF(INDIRECT("Tabela!C"&amp;MATCH(A117,Tabela!A:A,0)&amp;":C"&amp;MATCH(A117+1,Tabela!A:A,0)-1),"*imediata*")</f>
        <v>4</v>
      </c>
      <c r="C117" s="101">
        <f ca="1">COUNTIF(INDIRECT("Tabela!C"&amp;MATCH(A117,Tabela!A:A,0)&amp;":C"&amp;MATCH(A117+1,Tabela!A:A,0)-1),"*mediata*")-B117</f>
        <v>5</v>
      </c>
      <c r="D117" s="11">
        <f t="shared" ca="1" si="23"/>
        <v>9</v>
      </c>
    </row>
    <row r="118" spans="1:4" x14ac:dyDescent="0.25">
      <c r="A118" s="7">
        <f t="shared" si="22"/>
        <v>46</v>
      </c>
      <c r="B118" s="101">
        <f ca="1">COUNTIF(INDIRECT("Tabela!C"&amp;MATCH(A118,Tabela!A:A,0)&amp;":C"&amp;MATCH(A118+1,Tabela!A:A,0)-1),"*imediata*")</f>
        <v>5</v>
      </c>
      <c r="C118" s="101">
        <f ca="1">COUNTIF(INDIRECT("Tabela!C"&amp;MATCH(A118,Tabela!A:A,0)&amp;":C"&amp;MATCH(A118+1,Tabela!A:A,0)-1),"*mediata*")-B118</f>
        <v>1</v>
      </c>
      <c r="D118" s="11">
        <f t="shared" ca="1" si="23"/>
        <v>6</v>
      </c>
    </row>
    <row r="119" spans="1:4" x14ac:dyDescent="0.25">
      <c r="A119" s="7">
        <f t="shared" si="22"/>
        <v>47</v>
      </c>
      <c r="B119" s="101">
        <f ca="1">COUNTIF(INDIRECT("Tabela!C"&amp;MATCH(A119,Tabela!A:A,0)&amp;":C"&amp;MATCH(A119+1,Tabela!A:A,0)-1),"*imediata*")</f>
        <v>8</v>
      </c>
      <c r="C119" s="101">
        <f ca="1">COUNTIF(INDIRECT("Tabela!C"&amp;MATCH(A119,Tabela!A:A,0)&amp;":C"&amp;MATCH(A119+1,Tabela!A:A,0)-1),"*mediata*")-B119</f>
        <v>7</v>
      </c>
      <c r="D119" s="11">
        <f t="shared" ca="1" si="23"/>
        <v>15</v>
      </c>
    </row>
    <row r="120" spans="1:4" x14ac:dyDescent="0.25">
      <c r="A120" s="7">
        <f t="shared" si="22"/>
        <v>48</v>
      </c>
      <c r="B120" s="101">
        <f ca="1">COUNTIF(INDIRECT("Tabela!C"&amp;MATCH(A120,Tabela!A:A,0)&amp;":C"&amp;MATCH(A120+1,Tabela!A:A,0)-1),"*imediata*")</f>
        <v>7</v>
      </c>
      <c r="C120" s="101">
        <f ca="1">COUNTIF(INDIRECT("Tabela!C"&amp;MATCH(A120,Tabela!A:A,0)&amp;":C"&amp;MATCH(A120+1,Tabela!A:A,0)-1),"*mediata*")-B120</f>
        <v>7</v>
      </c>
      <c r="D120" s="11">
        <f t="shared" ca="1" si="23"/>
        <v>14</v>
      </c>
    </row>
    <row r="121" spans="1:4" x14ac:dyDescent="0.25">
      <c r="A121" s="7">
        <f t="shared" si="22"/>
        <v>49</v>
      </c>
      <c r="B121" s="101">
        <f ca="1">COUNTIF(INDIRECT("Tabela!C"&amp;MATCH(A121,Tabela!A:A,0)&amp;":C"&amp;MATCH(A121+1,Tabela!A:A,0)-1),"*imediata*")</f>
        <v>10</v>
      </c>
      <c r="C121" s="101">
        <f ca="1">COUNTIF(INDIRECT("Tabela!C"&amp;MATCH(A121,Tabela!A:A,0)&amp;":C"&amp;MATCH(A121+1,Tabela!A:A,0)-1),"*mediata*")-B121</f>
        <v>4</v>
      </c>
      <c r="D121" s="11">
        <f t="shared" ca="1" si="23"/>
        <v>14</v>
      </c>
    </row>
    <row r="122" spans="1:4" x14ac:dyDescent="0.25">
      <c r="A122" s="7">
        <f t="shared" si="22"/>
        <v>50</v>
      </c>
      <c r="B122" s="101">
        <f ca="1">COUNTIF(INDIRECT("Tabela!C"&amp;MATCH(A122,Tabela!A:A,0)&amp;":C"&amp;MATCH(A122+1,Tabela!A:A,0)-1),"*imediata*")</f>
        <v>3</v>
      </c>
      <c r="C122" s="101">
        <f ca="1">COUNTIF(INDIRECT("Tabela!C"&amp;MATCH(A122,Tabela!A:A,0)&amp;":C"&amp;MATCH(A122+1,Tabela!A:A,0)-1),"*mediata*")-B122</f>
        <v>4</v>
      </c>
      <c r="D122" s="11">
        <f t="shared" ca="1" si="23"/>
        <v>7</v>
      </c>
    </row>
    <row r="123" spans="1:4" x14ac:dyDescent="0.25">
      <c r="A123" s="7">
        <f t="shared" si="22"/>
        <v>51</v>
      </c>
      <c r="B123" s="101">
        <f ca="1">COUNTIF(INDIRECT("Tabela!C"&amp;MATCH(A123,Tabela!A:A,0)&amp;":C"&amp;MATCH(A123+1,Tabela!A:A,0)-1),"*imediata*")</f>
        <v>6</v>
      </c>
      <c r="C123" s="101">
        <f ca="1">COUNTIF(INDIRECT("Tabela!C"&amp;MATCH(A123,Tabela!A:A,0)&amp;":C"&amp;MATCH(A123+1,Tabela!A:A,0)-1),"*mediata*")-B123</f>
        <v>6</v>
      </c>
      <c r="D123" s="11">
        <f t="shared" ca="1" si="23"/>
        <v>12</v>
      </c>
    </row>
    <row r="124" spans="1:4" x14ac:dyDescent="0.25">
      <c r="A124" s="7">
        <f t="shared" si="22"/>
        <v>52</v>
      </c>
      <c r="B124" s="101">
        <f ca="1">COUNTIF(INDIRECT("Tabela!C"&amp;MATCH(A124,Tabela!A:A,0)&amp;":C"&amp;MATCH(A124+1,Tabela!A:A,0)-1),"*imediata*")</f>
        <v>6</v>
      </c>
      <c r="C124" s="101">
        <f ca="1">COUNTIF(INDIRECT("Tabela!C"&amp;MATCH(A124,Tabela!A:A,0)&amp;":C"&amp;MATCH(A124+1,Tabela!A:A,0)-1),"*mediata*")-B124</f>
        <v>13</v>
      </c>
      <c r="D124" s="11">
        <f t="shared" ca="1" si="23"/>
        <v>19</v>
      </c>
    </row>
    <row r="125" spans="1:4" x14ac:dyDescent="0.25">
      <c r="A125" s="7">
        <f t="shared" si="22"/>
        <v>53</v>
      </c>
      <c r="B125" s="101">
        <f ca="1">COUNTIF(INDIRECT("Tabela!C"&amp;MATCH(A125,Tabela!A:A,0)&amp;":C"&amp;MATCH(A125+1,Tabela!A:A,0)-1),"*imediata*")</f>
        <v>12</v>
      </c>
      <c r="C125" s="101">
        <f ca="1">COUNTIF(INDIRECT("Tabela!C"&amp;MATCH(A125,Tabela!A:A,0)&amp;":C"&amp;MATCH(A125+1,Tabela!A:A,0)-1),"*mediata*")-B125</f>
        <v>11</v>
      </c>
      <c r="D125" s="11">
        <f t="shared" ca="1" si="23"/>
        <v>23</v>
      </c>
    </row>
    <row r="126" spans="1:4" x14ac:dyDescent="0.25">
      <c r="A126" s="7">
        <f t="shared" si="22"/>
        <v>54</v>
      </c>
      <c r="B126" s="101">
        <f ca="1">COUNTIF(INDIRECT("Tabela!C"&amp;MATCH(A126,Tabela!A:A,0)&amp;":C"&amp;MATCH(A126+1,Tabela!A:A,0)-1),"*imediata*")</f>
        <v>8</v>
      </c>
      <c r="C126" s="101">
        <f ca="1">COUNTIF(INDIRECT("Tabela!C"&amp;MATCH(A126,Tabela!A:A,0)&amp;":C"&amp;MATCH(A126+1,Tabela!A:A,0)-1),"*mediata*")-B126</f>
        <v>12</v>
      </c>
      <c r="D126" s="11">
        <f t="shared" ca="1" si="23"/>
        <v>20</v>
      </c>
    </row>
    <row r="127" spans="1:4" x14ac:dyDescent="0.25">
      <c r="A127" s="7">
        <f t="shared" si="22"/>
        <v>55</v>
      </c>
      <c r="B127" s="101">
        <f ca="1">COUNTIF(INDIRECT("Tabela!C"&amp;MATCH(A127,Tabela!A:A,0)&amp;":C"&amp;MATCH(A127+1,Tabela!A:A,0)-1),"*imediata*")</f>
        <v>8</v>
      </c>
      <c r="C127" s="101">
        <f ca="1">COUNTIF(INDIRECT("Tabela!C"&amp;MATCH(A127,Tabela!A:A,0)&amp;":C"&amp;MATCH(A127+1,Tabela!A:A,0)-1),"*mediata*")-B127</f>
        <v>15</v>
      </c>
      <c r="D127" s="11">
        <f t="shared" ca="1" si="23"/>
        <v>23</v>
      </c>
    </row>
    <row r="128" spans="1:4" x14ac:dyDescent="0.25">
      <c r="A128" s="7">
        <f t="shared" si="22"/>
        <v>56</v>
      </c>
      <c r="B128" s="101">
        <f ca="1">COUNTIF(INDIRECT("Tabela!C"&amp;MATCH(A128,Tabela!A:A,0)&amp;":C"&amp;MATCH(A128+1,Tabela!A:A,0)-1),"*imediata*")</f>
        <v>6</v>
      </c>
      <c r="C128" s="101">
        <f ca="1">COUNTIF(INDIRECT("Tabela!C"&amp;MATCH(A128,Tabela!A:A,0)&amp;":C"&amp;MATCH(A128+1,Tabela!A:A,0)-1),"*mediata*")-B128</f>
        <v>17</v>
      </c>
      <c r="D128" s="11">
        <f t="shared" ca="1" si="23"/>
        <v>23</v>
      </c>
    </row>
    <row r="129" spans="1:11" x14ac:dyDescent="0.25">
      <c r="A129" s="7">
        <f t="shared" si="22"/>
        <v>57</v>
      </c>
      <c r="B129" s="101">
        <f ca="1">COUNTIF(INDIRECT("Tabela!C"&amp;MATCH(A129,Tabela!A:A,0)&amp;":C"&amp;MATCH(A129+1,Tabela!A:A,0)-1),"*imediata*")</f>
        <v>8</v>
      </c>
      <c r="C129" s="101">
        <f ca="1">COUNTIF(INDIRECT("Tabela!C"&amp;MATCH(A129,Tabela!A:A,0)&amp;":C"&amp;MATCH(A129+1,Tabela!A:A,0)-1),"*mediata*")-B129</f>
        <v>6</v>
      </c>
      <c r="D129" s="11">
        <f t="shared" ca="1" si="23"/>
        <v>14</v>
      </c>
    </row>
    <row r="130" spans="1:11" x14ac:dyDescent="0.25">
      <c r="A130" s="7">
        <f t="shared" si="22"/>
        <v>58</v>
      </c>
      <c r="B130" s="101">
        <f ca="1">COUNTIF(INDIRECT("Tabela!C"&amp;MATCH(A130,Tabela!A:A,0)&amp;":C"&amp;MATCH(A130+1,Tabela!A:A,0)-1),"*imediata*")</f>
        <v>8</v>
      </c>
      <c r="C130" s="101">
        <f ca="1">COUNTIF(INDIRECT("Tabela!C"&amp;MATCH(A130,Tabela!A:A,0)&amp;":C"&amp;MATCH(A130+1,Tabela!A:A,0)-1),"*mediata*")-B130</f>
        <v>10</v>
      </c>
      <c r="D130" s="11">
        <f t="shared" ca="1" si="23"/>
        <v>18</v>
      </c>
    </row>
    <row r="131" spans="1:11" x14ac:dyDescent="0.25">
      <c r="A131" s="7">
        <f t="shared" si="22"/>
        <v>59</v>
      </c>
      <c r="B131" s="101">
        <f ca="1">COUNTIF(INDIRECT("Tabela!C"&amp;MATCH(A131,Tabela!A:A,0)&amp;":C"&amp;MATCH(A131+1,Tabela!A:A,0)-1),"*imediata*")</f>
        <v>3</v>
      </c>
      <c r="C131" s="101">
        <f ca="1">COUNTIF(INDIRECT("Tabela!C"&amp;MATCH(A131,Tabela!A:A,0)&amp;":C"&amp;MATCH(A131+1,Tabela!A:A,0)-1),"*mediata*")-B131</f>
        <v>9</v>
      </c>
      <c r="D131" s="11">
        <f t="shared" ca="1" si="23"/>
        <v>12</v>
      </c>
    </row>
    <row r="132" spans="1:11" x14ac:dyDescent="0.25">
      <c r="A132" s="7">
        <f t="shared" si="22"/>
        <v>60</v>
      </c>
      <c r="B132" s="101">
        <f ca="1">COUNTIF(INDIRECT("Tabela!C"&amp;MATCH(A132,Tabela!A:A,0)&amp;":C"&amp;MATCH(A132+1,Tabela!A:A,0)-1),"*imediata*")</f>
        <v>3</v>
      </c>
      <c r="C132" s="101">
        <f ca="1">COUNTIF(INDIRECT("Tabela!C"&amp;MATCH(A132,Tabela!A:A,0)&amp;":C"&amp;MATCH(A132+1,Tabela!A:A,0)-1),"*mediata*")-B132</f>
        <v>7</v>
      </c>
      <c r="D132" s="11">
        <f t="shared" ca="1" si="23"/>
        <v>10</v>
      </c>
    </row>
    <row r="133" spans="1:11" x14ac:dyDescent="0.25">
      <c r="A133" s="7">
        <f t="shared" si="22"/>
        <v>61</v>
      </c>
      <c r="B133" s="101">
        <f ca="1">COUNTIF(INDIRECT("Tabela!C"&amp;MATCH(A133,Tabela!A:A,0)&amp;":C"&amp;MATCH(A133+1,Tabela!A:A,0)-1),"*imediata*")</f>
        <v>8</v>
      </c>
      <c r="C133" s="101">
        <f ca="1">COUNTIF(INDIRECT("Tabela!C"&amp;MATCH(A133,Tabela!A:A,0)&amp;":C"&amp;MATCH(A133+1,Tabela!A:A,0)-1),"*mediata*")-B133</f>
        <v>17</v>
      </c>
      <c r="D133" s="11">
        <f t="shared" ca="1" si="23"/>
        <v>25</v>
      </c>
    </row>
    <row r="134" spans="1:11" x14ac:dyDescent="0.25">
      <c r="A134" s="7">
        <f t="shared" si="22"/>
        <v>62</v>
      </c>
      <c r="B134" s="101">
        <f ca="1">COUNTIF(INDIRECT("Tabela!C"&amp;MATCH(A134,Tabela!A:A,0)&amp;":C"&amp;MATCH(A134+1,Tabela!A:A,0)-1),"*imediata*")</f>
        <v>6</v>
      </c>
      <c r="C134" s="101">
        <f ca="1">COUNTIF(INDIRECT("Tabela!C"&amp;MATCH(A134,Tabela!A:A,0)&amp;":C"&amp;MATCH(A134+1,Tabela!A:A,0)-1),"*mediata*")-B134</f>
        <v>2</v>
      </c>
      <c r="D134" s="11">
        <f t="shared" ca="1" si="23"/>
        <v>8</v>
      </c>
    </row>
    <row r="135" spans="1:11" x14ac:dyDescent="0.25">
      <c r="A135" s="7">
        <f t="shared" si="22"/>
        <v>63</v>
      </c>
      <c r="B135" s="101">
        <f ca="1">COUNTIF(INDIRECT("Tabela!C"&amp;MATCH(A135,Tabela!A:A,0)&amp;":C"&amp;MATCH(A135+1,Tabela!A:A,0)-1),"*imediata*")</f>
        <v>8</v>
      </c>
      <c r="C135" s="101">
        <f ca="1">COUNTIF(INDIRECT("Tabela!C"&amp;MATCH(A135,Tabela!A:A,0)&amp;":C"&amp;MATCH(A135+1,Tabela!A:A,0)-1),"*mediata*")-B135</f>
        <v>11</v>
      </c>
      <c r="D135" s="11">
        <f t="shared" ca="1" si="23"/>
        <v>19</v>
      </c>
    </row>
    <row r="136" spans="1:11" x14ac:dyDescent="0.25">
      <c r="A136" s="7">
        <f t="shared" si="22"/>
        <v>64</v>
      </c>
      <c r="B136" s="101">
        <f ca="1">COUNTIF(INDIRECT("Tabela!C"&amp;MATCH(A136,Tabela!A:A,0)&amp;":C"&amp;MATCH(A136+1,Tabela!A:A,0)-1),"*imediata*")</f>
        <v>8</v>
      </c>
      <c r="C136" s="101">
        <f ca="1">COUNTIF(INDIRECT("Tabela!C"&amp;MATCH(A136,Tabela!A:A,0)&amp;":C"&amp;MATCH(A136+1,Tabela!A:A,0)-1),"*mediata*")-B136</f>
        <v>2</v>
      </c>
      <c r="D136" s="11">
        <f t="shared" ca="1" si="23"/>
        <v>10</v>
      </c>
      <c r="K136" s="102"/>
    </row>
    <row r="137" spans="1:11" x14ac:dyDescent="0.25">
      <c r="A137" s="7">
        <f t="shared" si="22"/>
        <v>65</v>
      </c>
      <c r="B137" s="101">
        <f ca="1">COUNTIF(INDIRECT("Tabela!C"&amp;MATCH(A137,Tabela!A:A,0)&amp;":C"&amp;MATCH(A137+1,Tabela!A:A,0)-1),"*imediata*")</f>
        <v>3</v>
      </c>
      <c r="C137" s="101">
        <f ca="1">COUNTIF(INDIRECT("Tabela!C"&amp;MATCH(A137,Tabela!A:A,0)&amp;":C"&amp;MATCH(A137+1,Tabela!A:A,0)-1),"*mediata*")-B137</f>
        <v>1</v>
      </c>
      <c r="D137" s="11">
        <f t="shared" ca="1" si="23"/>
        <v>4</v>
      </c>
    </row>
    <row r="138" spans="1:11" x14ac:dyDescent="0.25">
      <c r="A138" s="7">
        <f t="shared" si="22"/>
        <v>66</v>
      </c>
      <c r="B138" s="101">
        <f ca="1">COUNTIF(INDIRECT("Tabela!C"&amp;MATCH(A138,Tabela!A:A,0)&amp;":C"&amp;MATCH(A138+1,Tabela!A:A,0)-1),"*imediata*")</f>
        <v>3</v>
      </c>
      <c r="C138" s="101">
        <f ca="1">COUNTIF(INDIRECT("Tabela!C"&amp;MATCH(A138,Tabela!A:A,0)&amp;":C"&amp;MATCH(A138+1,Tabela!A:A,0)-1),"*mediata*")-B138</f>
        <v>6</v>
      </c>
      <c r="D138" s="11">
        <f t="shared" ca="1" si="23"/>
        <v>9</v>
      </c>
    </row>
    <row r="139" spans="1:11" x14ac:dyDescent="0.25">
      <c r="A139" s="7">
        <f t="shared" si="22"/>
        <v>67</v>
      </c>
      <c r="B139" s="101">
        <f ca="1">COUNTIF(INDIRECT("Tabela!C"&amp;MATCH(A139,Tabela!A:A,0)&amp;":C"&amp;MATCH(A139+1,Tabela!A:A,0)-1),"*imediata*")</f>
        <v>1</v>
      </c>
      <c r="C139" s="101">
        <f ca="1">COUNTIF(INDIRECT("Tabela!C"&amp;MATCH(A139,Tabela!A:A,0)&amp;":C"&amp;MATCH(A139+1,Tabela!A:A,0)-1),"*mediata*")-B139</f>
        <v>2</v>
      </c>
      <c r="D139" s="11">
        <f t="shared" ca="1" si="23"/>
        <v>3</v>
      </c>
    </row>
    <row r="140" spans="1:11" x14ac:dyDescent="0.25">
      <c r="A140" s="7">
        <f t="shared" si="22"/>
        <v>68</v>
      </c>
      <c r="B140" s="101">
        <f ca="1">COUNTIF(INDIRECT("Tabela!C"&amp;MATCH(A140,Tabela!A:A,0)&amp;":C"&amp;MATCH(A140+1,Tabela!A:A,0)-1),"*imediata*")</f>
        <v>1</v>
      </c>
      <c r="C140" s="101">
        <f ca="1">COUNTIF(INDIRECT("Tabela!C"&amp;MATCH(A140,Tabela!A:A,0)&amp;":C"&amp;MATCH(A140+1,Tabela!A:A,0)-1),"*mediata*")-B140</f>
        <v>0</v>
      </c>
      <c r="D140" s="11">
        <f t="shared" ca="1" si="23"/>
        <v>1</v>
      </c>
    </row>
    <row r="141" spans="1:11" x14ac:dyDescent="0.25">
      <c r="A141" s="7">
        <f t="shared" si="22"/>
        <v>69</v>
      </c>
      <c r="B141" s="101">
        <f ca="1">COUNTIF(INDIRECT("Tabela!C"&amp;MATCH(A141,Tabela!A:A,0)&amp;":C"&amp;MATCH(A141+1,Tabela!A:A,0)-1),"*imediata*")</f>
        <v>1</v>
      </c>
      <c r="C141" s="101">
        <f ca="1">COUNTIF(INDIRECT("Tabela!C"&amp;MATCH(A141,Tabela!A:A,0)&amp;":C"&amp;MATCH(A141+1,Tabela!A:A,0)-1),"*mediata*")-B141</f>
        <v>2</v>
      </c>
      <c r="D141" s="11">
        <f t="shared" ca="1" si="23"/>
        <v>3</v>
      </c>
    </row>
    <row r="142" spans="1:11" x14ac:dyDescent="0.25">
      <c r="A142" s="7">
        <f t="shared" si="22"/>
        <v>70</v>
      </c>
      <c r="B142" s="101">
        <f ca="1">COUNTIF(INDIRECT("Tabela!C"&amp;MATCH(A142,Tabela!A:A,0)&amp;":C"&amp;MATCH(A142+1,Tabela!A:A,0)-1),"*imediata*")</f>
        <v>3</v>
      </c>
      <c r="C142" s="101">
        <f ca="1">COUNTIF(INDIRECT("Tabela!C"&amp;MATCH(A142,Tabela!A:A,0)&amp;":C"&amp;MATCH(A142+1,Tabela!A:A,0)-1),"*mediata*")-B142</f>
        <v>6</v>
      </c>
      <c r="D142" s="11">
        <f t="shared" ca="1" si="23"/>
        <v>9</v>
      </c>
    </row>
    <row r="143" spans="1:11" x14ac:dyDescent="0.25">
      <c r="A143" s="7">
        <f t="shared" si="22"/>
        <v>71</v>
      </c>
      <c r="B143" s="101">
        <f ca="1">COUNTIF(INDIRECT("Tabela!C"&amp;MATCH(A143,Tabela!A:A,0)&amp;":C"&amp;MATCH(A143+1,Tabela!A:A,0)-1),"*imediata*")</f>
        <v>0</v>
      </c>
      <c r="C143" s="101">
        <f ca="1">COUNTIF(INDIRECT("Tabela!C"&amp;MATCH(A143,Tabela!A:A,0)&amp;":C"&amp;MATCH(A143+1,Tabela!A:A,0)-1),"*mediata*")-B143</f>
        <v>6</v>
      </c>
      <c r="D143" s="11">
        <f t="shared" ca="1" si="23"/>
        <v>6</v>
      </c>
    </row>
    <row r="144" spans="1:11" x14ac:dyDescent="0.25">
      <c r="A144" s="7">
        <f t="shared" si="22"/>
        <v>72</v>
      </c>
      <c r="B144" s="101">
        <f ca="1">COUNTIF(INDIRECT("Tabela!C"&amp;MATCH(A144,Tabela!A:A,0)&amp;":C"&amp;MATCH(A144+1,Tabela!A:A,0)-1),"*imediata*")</f>
        <v>5</v>
      </c>
      <c r="C144" s="101">
        <f ca="1">COUNTIF(INDIRECT("Tabela!C"&amp;MATCH(A144,Tabela!A:A,0)&amp;":C"&amp;MATCH(A144+1,Tabela!A:A,0)-1),"*mediata*")-B144</f>
        <v>5</v>
      </c>
      <c r="D144" s="11">
        <f t="shared" ca="1" si="23"/>
        <v>10</v>
      </c>
    </row>
    <row r="145" spans="1:4" x14ac:dyDescent="0.25">
      <c r="A145" s="7">
        <f t="shared" si="22"/>
        <v>73</v>
      </c>
      <c r="B145" s="101">
        <f ca="1">COUNTIF(INDIRECT("Tabela!C"&amp;MATCH(A145,Tabela!A:A,0)&amp;":C"&amp;MATCH(A145+1,Tabela!A:A,0)-1),"*imediata*")</f>
        <v>5</v>
      </c>
      <c r="C145" s="101">
        <f ca="1">COUNTIF(INDIRECT("Tabela!C"&amp;MATCH(A145,Tabela!A:A,0)&amp;":C"&amp;MATCH(A145+1,Tabela!A:A,0)-1),"*mediata*")-B145</f>
        <v>4</v>
      </c>
      <c r="D145" s="11">
        <f t="shared" ca="1" si="23"/>
        <v>9</v>
      </c>
    </row>
    <row r="146" spans="1:4" x14ac:dyDescent="0.25">
      <c r="A146" s="7">
        <f t="shared" si="22"/>
        <v>74</v>
      </c>
      <c r="B146" s="101">
        <f ca="1">COUNTIF(INDIRECT("Tabela!C"&amp;MATCH(A146,Tabela!A:A,0)&amp;":C"&amp;MATCH(A146+1,Tabela!A:A,0)-1),"*imediata*")</f>
        <v>11</v>
      </c>
      <c r="C146" s="101">
        <f ca="1">COUNTIF(INDIRECT("Tabela!C"&amp;MATCH(A146,Tabela!A:A,0)&amp;":C"&amp;MATCH(A146+1,Tabela!A:A,0)-1),"*mediata*")-B146</f>
        <v>4</v>
      </c>
      <c r="D146" s="11">
        <f t="shared" ca="1" si="23"/>
        <v>15</v>
      </c>
    </row>
    <row r="147" spans="1:4" x14ac:dyDescent="0.25">
      <c r="A147" s="7">
        <f t="shared" si="22"/>
        <v>75</v>
      </c>
      <c r="B147" s="101">
        <f ca="1">COUNTIF(INDIRECT("Tabela!C"&amp;MATCH(A147,Tabela!A:A,0)&amp;":C"&amp;MATCH(A147+1,Tabela!A:A,0)-1),"*imediata*")</f>
        <v>13</v>
      </c>
      <c r="C147" s="101">
        <f ca="1">COUNTIF(INDIRECT("Tabela!C"&amp;MATCH(A147,Tabela!A:A,0)&amp;":C"&amp;MATCH(A147+1,Tabela!A:A,0)-1),"*mediata*")-B147</f>
        <v>4</v>
      </c>
      <c r="D147" s="11">
        <f t="shared" ca="1" si="23"/>
        <v>17</v>
      </c>
    </row>
    <row r="148" spans="1:4" x14ac:dyDescent="0.25">
      <c r="A148" s="7">
        <f t="shared" si="22"/>
        <v>76</v>
      </c>
      <c r="B148" s="101">
        <f ca="1">COUNTIF(INDIRECT("Tabela!C"&amp;MATCH(A148,Tabela!A:A,0)&amp;":C"&amp;MATCH(A148+1,Tabela!A:A,0)-1),"*imediata*")</f>
        <v>4</v>
      </c>
      <c r="C148" s="101">
        <f ca="1">COUNTIF(INDIRECT("Tabela!C"&amp;MATCH(A148,Tabela!A:A,0)&amp;":C"&amp;MATCH(A148+1,Tabela!A:A,0)-1),"*mediata*")-B148</f>
        <v>4</v>
      </c>
      <c r="D148" s="11">
        <f t="shared" ca="1" si="23"/>
        <v>8</v>
      </c>
    </row>
    <row r="149" spans="1:4" x14ac:dyDescent="0.25">
      <c r="A149" s="7">
        <f t="shared" si="22"/>
        <v>77</v>
      </c>
      <c r="B149" s="101">
        <f ca="1">COUNTIF(INDIRECT("Tabela!C"&amp;MATCH(A149,Tabela!A:A,0)&amp;":C"&amp;MATCH(A149+1,Tabela!A:A,0)-1),"*imediata*")</f>
        <v>2</v>
      </c>
      <c r="C149" s="101">
        <f ca="1">COUNTIF(INDIRECT("Tabela!C"&amp;MATCH(A149,Tabela!A:A,0)&amp;":C"&amp;MATCH(A149+1,Tabela!A:A,0)-1),"*mediata*")-B149</f>
        <v>6</v>
      </c>
      <c r="D149" s="11">
        <f t="shared" ca="1" si="23"/>
        <v>8</v>
      </c>
    </row>
    <row r="150" spans="1:4" x14ac:dyDescent="0.25">
      <c r="A150" s="7">
        <f t="shared" si="22"/>
        <v>78</v>
      </c>
      <c r="B150" s="101">
        <f ca="1">COUNTIF(INDIRECT("Tabela!C"&amp;MATCH(A150,Tabela!A:A,0)&amp;":C"&amp;MATCH(A150+1,Tabela!A:A,0)-1),"*imediata*")</f>
        <v>1</v>
      </c>
      <c r="C150" s="101">
        <f ca="1">COUNTIF(INDIRECT("Tabela!C"&amp;MATCH(A150,Tabela!A:A,0)&amp;":C"&amp;MATCH(A150+1,Tabela!A:A,0)-1),"*mediata*")-B150</f>
        <v>4</v>
      </c>
      <c r="D150" s="11">
        <f t="shared" ca="1" si="23"/>
        <v>5</v>
      </c>
    </row>
    <row r="151" spans="1:4" x14ac:dyDescent="0.25">
      <c r="A151" s="7">
        <f t="shared" si="22"/>
        <v>79</v>
      </c>
      <c r="B151" s="101">
        <f ca="1">COUNTIF(INDIRECT("Tabela!C"&amp;MATCH(A151,Tabela!A:A,0)&amp;":C"&amp;MATCH(A151+1,Tabela!A:A,0)-1),"*imediata*")</f>
        <v>8</v>
      </c>
      <c r="C151" s="101">
        <f ca="1">COUNTIF(INDIRECT("Tabela!C"&amp;MATCH(A151,Tabela!A:A,0)&amp;":C"&amp;MATCH(A151+1,Tabela!A:A,0)-1),"*mediata*")-B151</f>
        <v>7</v>
      </c>
      <c r="D151" s="11">
        <f t="shared" ca="1" si="23"/>
        <v>15</v>
      </c>
    </row>
    <row r="152" spans="1:4" x14ac:dyDescent="0.25">
      <c r="A152" s="7">
        <f t="shared" si="22"/>
        <v>80</v>
      </c>
      <c r="B152" s="101">
        <f ca="1">COUNTIF(INDIRECT("Tabela!C"&amp;MATCH(A152,Tabela!A:A,0)&amp;":C"&amp;MATCH(A152+1,Tabela!A:A,0)-1),"*imediata*")</f>
        <v>4</v>
      </c>
      <c r="C152" s="101">
        <f ca="1">COUNTIF(INDIRECT("Tabela!C"&amp;MATCH(A152,Tabela!A:A,0)&amp;":C"&amp;MATCH(A152+1,Tabela!A:A,0)-1),"*mediata*")-B152</f>
        <v>5</v>
      </c>
      <c r="D152" s="11">
        <f t="shared" ca="1" si="23"/>
        <v>9</v>
      </c>
    </row>
    <row r="153" spans="1:4" x14ac:dyDescent="0.25">
      <c r="A153" s="7">
        <f t="shared" si="22"/>
        <v>81</v>
      </c>
      <c r="B153" s="101">
        <f ca="1">COUNTIF(INDIRECT("Tabela!C"&amp;MATCH(A153,Tabela!A:A,0)&amp;":C"&amp;MATCH(A153+1,Tabela!A:A,0)-1),"*imediata*")</f>
        <v>4</v>
      </c>
      <c r="C153" s="101">
        <f ca="1">COUNTIF(INDIRECT("Tabela!C"&amp;MATCH(A153,Tabela!A:A,0)&amp;":C"&amp;MATCH(A153+1,Tabela!A:A,0)-1),"*mediata*")-B153</f>
        <v>4</v>
      </c>
      <c r="D153" s="11">
        <f t="shared" ca="1" si="23"/>
        <v>8</v>
      </c>
    </row>
    <row r="154" spans="1:4" x14ac:dyDescent="0.25">
      <c r="A154" s="7">
        <f t="shared" si="22"/>
        <v>82</v>
      </c>
      <c r="B154" s="101">
        <f ca="1">COUNTIF(INDIRECT("Tabela!C"&amp;MATCH(A154,Tabela!A:A,0)&amp;":C"&amp;MATCH(A154+1,Tabela!A:A,0)-1),"*imediata*")</f>
        <v>5</v>
      </c>
      <c r="C154" s="101">
        <f ca="1">COUNTIF(INDIRECT("Tabela!C"&amp;MATCH(A154,Tabela!A:A,0)&amp;":C"&amp;MATCH(A154+1,Tabela!A:A,0)-1),"*mediata*")-B154</f>
        <v>6</v>
      </c>
      <c r="D154" s="11">
        <f t="shared" ca="1" si="23"/>
        <v>11</v>
      </c>
    </row>
    <row r="155" spans="1:4" x14ac:dyDescent="0.25">
      <c r="A155" s="7">
        <f t="shared" si="22"/>
        <v>83</v>
      </c>
      <c r="B155" s="101">
        <f ca="1">COUNTIF(INDIRECT("Tabela!C"&amp;MATCH(A155,Tabela!A:A,0)&amp;":C"&amp;MATCH(A155+1,Tabela!A:A,0)-1),"*imediata*")</f>
        <v>0</v>
      </c>
      <c r="C155" s="101">
        <f ca="1">COUNTIF(INDIRECT("Tabela!C"&amp;MATCH(A155,Tabela!A:A,0)&amp;":C"&amp;MATCH(A155+1,Tabela!A:A,0)-1),"*mediata*")-B155</f>
        <v>4</v>
      </c>
      <c r="D155" s="11">
        <f t="shared" ca="1" si="23"/>
        <v>4</v>
      </c>
    </row>
    <row r="156" spans="1:4" x14ac:dyDescent="0.25">
      <c r="A156" s="7">
        <f>A155+1</f>
        <v>84</v>
      </c>
      <c r="B156" s="101"/>
      <c r="C156" s="101"/>
      <c r="D156" s="11"/>
    </row>
    <row r="157" spans="1:4" x14ac:dyDescent="0.25">
      <c r="A157" s="7">
        <f>A156+1</f>
        <v>85</v>
      </c>
      <c r="B157" s="101"/>
      <c r="C157" s="101"/>
      <c r="D157" s="11"/>
    </row>
    <row r="158" spans="1:4" ht="15.75" thickBot="1" x14ac:dyDescent="0.3">
      <c r="A158" s="8">
        <f>A157+1</f>
        <v>86</v>
      </c>
      <c r="B158" s="103"/>
      <c r="C158" s="103"/>
      <c r="D158" s="13"/>
    </row>
    <row r="160" spans="1:4" x14ac:dyDescent="0.25">
      <c r="D160" s="102"/>
    </row>
  </sheetData>
  <mergeCells count="6">
    <mergeCell ref="A97:F97"/>
    <mergeCell ref="A24:F24"/>
    <mergeCell ref="C67:F67"/>
    <mergeCell ref="G67:J67"/>
    <mergeCell ref="K67:N67"/>
    <mergeCell ref="H77:L7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Tabela</vt:lpstr>
      <vt:lpstr>Contagens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2015-08-28T12:06:31Z</dcterms:created>
  <dcterms:modified xsi:type="dcterms:W3CDTF">2016-09-29T16:10:21Z</dcterms:modified>
</cp:coreProperties>
</file>